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40" yWindow="-420" windowWidth="24560" windowHeight="15440" tabRatio="717" activeTab="3"/>
  </bookViews>
  <sheets>
    <sheet name="GC-B cell original comparision" sheetId="1" r:id="rId1"/>
    <sheet name="actMatureT&amp;NK" sheetId="2" r:id="rId2"/>
    <sheet name="actImmT&amp;B" sheetId="3" r:id="rId3"/>
    <sheet name="GC-Bcell vs actMatureT&amp;NK,MZ" sheetId="4" r:id="rId4"/>
    <sheet name="GC-Bcell vs actImmatureT&amp;B, MZ" sheetId="5" r:id="rId5"/>
  </sheets>
  <calcPr calcId="130407" calcOnSave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879" i="3"/>
  <c r="I879"/>
  <c r="H879"/>
  <c r="G879"/>
  <c r="F879"/>
  <c r="E879"/>
  <c r="H878"/>
  <c r="G878"/>
  <c r="F878"/>
  <c r="E878"/>
  <c r="H877"/>
  <c r="G877"/>
  <c r="F877"/>
  <c r="E877"/>
  <c r="J876"/>
  <c r="I876"/>
  <c r="H876"/>
  <c r="G876"/>
  <c r="F876"/>
  <c r="E876"/>
  <c r="H875"/>
  <c r="G875"/>
  <c r="F875"/>
  <c r="E875"/>
  <c r="J874"/>
  <c r="I874"/>
  <c r="H874"/>
  <c r="G874"/>
  <c r="F874"/>
  <c r="E874"/>
  <c r="G873"/>
  <c r="F873"/>
  <c r="E873"/>
  <c r="J872"/>
  <c r="I872"/>
  <c r="H872"/>
  <c r="G872"/>
  <c r="F872"/>
  <c r="E872"/>
  <c r="G871"/>
  <c r="F871"/>
  <c r="E871"/>
  <c r="J870"/>
  <c r="I870"/>
  <c r="H870"/>
  <c r="G870"/>
  <c r="F870"/>
  <c r="E870"/>
  <c r="G869"/>
  <c r="F869"/>
  <c r="E869"/>
  <c r="J868"/>
  <c r="I868"/>
  <c r="H868"/>
  <c r="G868"/>
  <c r="F868"/>
  <c r="E868"/>
  <c r="J867"/>
  <c r="I867"/>
  <c r="H867"/>
  <c r="G867"/>
  <c r="F867"/>
  <c r="E867"/>
  <c r="J866"/>
  <c r="I866"/>
  <c r="H866"/>
  <c r="G866"/>
  <c r="F866"/>
  <c r="E866"/>
  <c r="J865"/>
  <c r="I865"/>
  <c r="H865"/>
  <c r="G865"/>
  <c r="F865"/>
  <c r="E865"/>
  <c r="H864"/>
  <c r="G864"/>
  <c r="F864"/>
  <c r="E864"/>
  <c r="G863"/>
  <c r="F863"/>
  <c r="E863"/>
  <c r="H862"/>
  <c r="G862"/>
  <c r="F862"/>
  <c r="E862"/>
  <c r="J861"/>
  <c r="I861"/>
  <c r="H861"/>
  <c r="G861"/>
  <c r="F861"/>
  <c r="E861"/>
  <c r="J860"/>
  <c r="I860"/>
  <c r="H860"/>
  <c r="G860"/>
  <c r="F860"/>
  <c r="E860"/>
  <c r="H859"/>
  <c r="G859"/>
  <c r="F859"/>
  <c r="E859"/>
  <c r="J858"/>
  <c r="I858"/>
  <c r="H858"/>
  <c r="G858"/>
  <c r="F858"/>
  <c r="E858"/>
  <c r="J857"/>
  <c r="I857"/>
  <c r="H857"/>
  <c r="G857"/>
  <c r="F857"/>
  <c r="E857"/>
  <c r="J856"/>
  <c r="I856"/>
  <c r="H856"/>
  <c r="G856"/>
  <c r="F856"/>
  <c r="E856"/>
  <c r="J855"/>
  <c r="I855"/>
  <c r="H855"/>
  <c r="G855"/>
  <c r="F855"/>
  <c r="E855"/>
  <c r="J854"/>
  <c r="I854"/>
  <c r="H854"/>
  <c r="G854"/>
  <c r="F854"/>
  <c r="E854"/>
  <c r="H853"/>
  <c r="G853"/>
  <c r="F853"/>
  <c r="E853"/>
  <c r="J852"/>
  <c r="I852"/>
  <c r="H852"/>
  <c r="G852"/>
  <c r="F852"/>
  <c r="E852"/>
  <c r="J851"/>
  <c r="I851"/>
  <c r="H851"/>
  <c r="G851"/>
  <c r="F851"/>
  <c r="E851"/>
  <c r="J850"/>
  <c r="I850"/>
  <c r="H850"/>
  <c r="G850"/>
  <c r="F850"/>
  <c r="E850"/>
  <c r="G849"/>
  <c r="F849"/>
  <c r="E849"/>
  <c r="J848"/>
  <c r="I848"/>
  <c r="H848"/>
  <c r="G848"/>
  <c r="F848"/>
  <c r="E848"/>
  <c r="H847"/>
  <c r="G847"/>
  <c r="F847"/>
  <c r="E847"/>
  <c r="J846"/>
  <c r="I846"/>
  <c r="H846"/>
  <c r="G846"/>
  <c r="F846"/>
  <c r="E846"/>
  <c r="J845"/>
  <c r="I845"/>
  <c r="H845"/>
  <c r="G845"/>
  <c r="F845"/>
  <c r="E845"/>
  <c r="J844"/>
  <c r="I844"/>
  <c r="H844"/>
  <c r="G844"/>
  <c r="F844"/>
  <c r="E844"/>
  <c r="H843"/>
  <c r="G843"/>
  <c r="F843"/>
  <c r="E843"/>
  <c r="J842"/>
  <c r="I842"/>
  <c r="H842"/>
  <c r="G842"/>
  <c r="F842"/>
  <c r="E842"/>
  <c r="J841"/>
  <c r="I841"/>
  <c r="H841"/>
  <c r="G841"/>
  <c r="F841"/>
  <c r="E841"/>
  <c r="J840"/>
  <c r="I840"/>
  <c r="H840"/>
  <c r="G840"/>
  <c r="F840"/>
  <c r="E840"/>
  <c r="H839"/>
  <c r="G839"/>
  <c r="F839"/>
  <c r="E839"/>
  <c r="J838"/>
  <c r="I838"/>
  <c r="H838"/>
  <c r="G838"/>
  <c r="F838"/>
  <c r="E838"/>
  <c r="J837"/>
  <c r="I837"/>
  <c r="H837"/>
  <c r="G837"/>
  <c r="F837"/>
  <c r="E837"/>
  <c r="H836"/>
  <c r="G836"/>
  <c r="F836"/>
  <c r="E836"/>
  <c r="J835"/>
  <c r="I835"/>
  <c r="H835"/>
  <c r="G835"/>
  <c r="F835"/>
  <c r="E835"/>
  <c r="G834"/>
  <c r="F834"/>
  <c r="E834"/>
  <c r="J833"/>
  <c r="I833"/>
  <c r="H833"/>
  <c r="G833"/>
  <c r="F833"/>
  <c r="E833"/>
  <c r="G832"/>
  <c r="F832"/>
  <c r="E832"/>
  <c r="G831"/>
  <c r="F831"/>
  <c r="E831"/>
  <c r="H830"/>
  <c r="G830"/>
  <c r="F830"/>
  <c r="E830"/>
  <c r="J829"/>
  <c r="I829"/>
  <c r="H829"/>
  <c r="G829"/>
  <c r="F829"/>
  <c r="E829"/>
  <c r="H828"/>
  <c r="G828"/>
  <c r="F828"/>
  <c r="E828"/>
  <c r="H827"/>
  <c r="G827"/>
  <c r="F827"/>
  <c r="E827"/>
  <c r="H826"/>
  <c r="G826"/>
  <c r="F826"/>
  <c r="E826"/>
  <c r="J825"/>
  <c r="I825"/>
  <c r="H825"/>
  <c r="G825"/>
  <c r="F825"/>
  <c r="E825"/>
  <c r="G824"/>
  <c r="F824"/>
  <c r="E824"/>
  <c r="J823"/>
  <c r="I823"/>
  <c r="H823"/>
  <c r="G823"/>
  <c r="F823"/>
  <c r="E823"/>
  <c r="J822"/>
  <c r="I822"/>
  <c r="H822"/>
  <c r="G822"/>
  <c r="F822"/>
  <c r="E822"/>
  <c r="J821"/>
  <c r="I821"/>
  <c r="H821"/>
  <c r="G821"/>
  <c r="F821"/>
  <c r="E821"/>
  <c r="H820"/>
  <c r="G820"/>
  <c r="F820"/>
  <c r="E820"/>
  <c r="J819"/>
  <c r="I819"/>
  <c r="H819"/>
  <c r="G819"/>
  <c r="F819"/>
  <c r="E819"/>
  <c r="H818"/>
  <c r="G818"/>
  <c r="F818"/>
  <c r="E818"/>
  <c r="G817"/>
  <c r="F817"/>
  <c r="E817"/>
  <c r="G816"/>
  <c r="F816"/>
  <c r="E816"/>
  <c r="H815"/>
  <c r="G815"/>
  <c r="F815"/>
  <c r="E815"/>
  <c r="H814"/>
  <c r="G814"/>
  <c r="F814"/>
  <c r="E814"/>
  <c r="J813"/>
  <c r="I813"/>
  <c r="H813"/>
  <c r="G813"/>
  <c r="F813"/>
  <c r="E813"/>
  <c r="G812"/>
  <c r="F812"/>
  <c r="E812"/>
  <c r="J811"/>
  <c r="I811"/>
  <c r="H811"/>
  <c r="G811"/>
  <c r="F811"/>
  <c r="E811"/>
  <c r="J810"/>
  <c r="I810"/>
  <c r="H810"/>
  <c r="G810"/>
  <c r="F810"/>
  <c r="E810"/>
  <c r="G809"/>
  <c r="F809"/>
  <c r="E809"/>
  <c r="J808"/>
  <c r="I808"/>
  <c r="H808"/>
  <c r="G808"/>
  <c r="F808"/>
  <c r="E808"/>
  <c r="G807"/>
  <c r="F807"/>
  <c r="E807"/>
  <c r="J806"/>
  <c r="I806"/>
  <c r="H806"/>
  <c r="G806"/>
  <c r="F806"/>
  <c r="E806"/>
  <c r="J805"/>
  <c r="I805"/>
  <c r="H805"/>
  <c r="G805"/>
  <c r="F805"/>
  <c r="E805"/>
  <c r="G804"/>
  <c r="F804"/>
  <c r="E804"/>
  <c r="J803"/>
  <c r="I803"/>
  <c r="H803"/>
  <c r="G803"/>
  <c r="F803"/>
  <c r="E803"/>
  <c r="J802"/>
  <c r="I802"/>
  <c r="H802"/>
  <c r="G802"/>
  <c r="F802"/>
  <c r="E802"/>
  <c r="J801"/>
  <c r="I801"/>
  <c r="H801"/>
  <c r="G801"/>
  <c r="F801"/>
  <c r="E801"/>
  <c r="H800"/>
  <c r="G800"/>
  <c r="F800"/>
  <c r="E800"/>
  <c r="G799"/>
  <c r="F799"/>
  <c r="E799"/>
  <c r="J798"/>
  <c r="I798"/>
  <c r="H798"/>
  <c r="G798"/>
  <c r="F798"/>
  <c r="E798"/>
  <c r="H797"/>
  <c r="G797"/>
  <c r="F797"/>
  <c r="E797"/>
  <c r="J796"/>
  <c r="I796"/>
  <c r="H796"/>
  <c r="G796"/>
  <c r="F796"/>
  <c r="E796"/>
  <c r="J795"/>
  <c r="I795"/>
  <c r="H795"/>
  <c r="G795"/>
  <c r="F795"/>
  <c r="E795"/>
  <c r="J794"/>
  <c r="I794"/>
  <c r="H794"/>
  <c r="G794"/>
  <c r="F794"/>
  <c r="E794"/>
  <c r="J793"/>
  <c r="I793"/>
  <c r="H793"/>
  <c r="G793"/>
  <c r="F793"/>
  <c r="E793"/>
  <c r="J792"/>
  <c r="I792"/>
  <c r="H792"/>
  <c r="G792"/>
  <c r="F792"/>
  <c r="E792"/>
  <c r="J791"/>
  <c r="I791"/>
  <c r="H791"/>
  <c r="G791"/>
  <c r="F791"/>
  <c r="E791"/>
  <c r="G790"/>
  <c r="F790"/>
  <c r="E790"/>
  <c r="J789"/>
  <c r="I789"/>
  <c r="H789"/>
  <c r="G789"/>
  <c r="F789"/>
  <c r="E789"/>
  <c r="J788"/>
  <c r="I788"/>
  <c r="H788"/>
  <c r="G788"/>
  <c r="F788"/>
  <c r="E788"/>
  <c r="J787"/>
  <c r="I787"/>
  <c r="H787"/>
  <c r="G787"/>
  <c r="F787"/>
  <c r="E787"/>
  <c r="H786"/>
  <c r="G786"/>
  <c r="F786"/>
  <c r="E786"/>
  <c r="G785"/>
  <c r="F785"/>
  <c r="E785"/>
  <c r="J784"/>
  <c r="I784"/>
  <c r="H784"/>
  <c r="G784"/>
  <c r="F784"/>
  <c r="E784"/>
  <c r="G783"/>
  <c r="F783"/>
  <c r="E783"/>
  <c r="J782"/>
  <c r="I782"/>
  <c r="H782"/>
  <c r="G782"/>
  <c r="F782"/>
  <c r="E782"/>
  <c r="H781"/>
  <c r="G781"/>
  <c r="F781"/>
  <c r="E781"/>
  <c r="J780"/>
  <c r="I780"/>
  <c r="H780"/>
  <c r="G780"/>
  <c r="F780"/>
  <c r="E780"/>
  <c r="J779"/>
  <c r="I779"/>
  <c r="H779"/>
  <c r="G779"/>
  <c r="F779"/>
  <c r="E779"/>
  <c r="J778"/>
  <c r="I778"/>
  <c r="H778"/>
  <c r="G778"/>
  <c r="F778"/>
  <c r="E778"/>
  <c r="J777"/>
  <c r="I777"/>
  <c r="H777"/>
  <c r="G777"/>
  <c r="F777"/>
  <c r="E777"/>
  <c r="J776"/>
  <c r="I776"/>
  <c r="H776"/>
  <c r="G776"/>
  <c r="F776"/>
  <c r="E776"/>
  <c r="J775"/>
  <c r="I775"/>
  <c r="H775"/>
  <c r="G775"/>
  <c r="F775"/>
  <c r="E775"/>
  <c r="G774"/>
  <c r="F774"/>
  <c r="E774"/>
  <c r="J773"/>
  <c r="I773"/>
  <c r="H773"/>
  <c r="G773"/>
  <c r="F773"/>
  <c r="E773"/>
  <c r="H772"/>
  <c r="G772"/>
  <c r="F772"/>
  <c r="E772"/>
  <c r="H771"/>
  <c r="G771"/>
  <c r="F771"/>
  <c r="E771"/>
  <c r="G770"/>
  <c r="F770"/>
  <c r="E770"/>
  <c r="J769"/>
  <c r="I769"/>
  <c r="H769"/>
  <c r="G769"/>
  <c r="F769"/>
  <c r="E769"/>
  <c r="H768"/>
  <c r="G768"/>
  <c r="F768"/>
  <c r="E768"/>
  <c r="J767"/>
  <c r="I767"/>
  <c r="H767"/>
  <c r="G767"/>
  <c r="F767"/>
  <c r="E767"/>
  <c r="H766"/>
  <c r="G766"/>
  <c r="F766"/>
  <c r="E766"/>
  <c r="J765"/>
  <c r="I765"/>
  <c r="H765"/>
  <c r="G765"/>
  <c r="F765"/>
  <c r="E765"/>
  <c r="H764"/>
  <c r="G764"/>
  <c r="F764"/>
  <c r="E764"/>
  <c r="H763"/>
  <c r="G763"/>
  <c r="F763"/>
  <c r="E763"/>
  <c r="J762"/>
  <c r="I762"/>
  <c r="H762"/>
  <c r="G762"/>
  <c r="F762"/>
  <c r="E762"/>
  <c r="J761"/>
  <c r="I761"/>
  <c r="H761"/>
  <c r="G761"/>
  <c r="F761"/>
  <c r="E761"/>
  <c r="J760"/>
  <c r="I760"/>
  <c r="H760"/>
  <c r="G760"/>
  <c r="F760"/>
  <c r="E760"/>
  <c r="G759"/>
  <c r="F759"/>
  <c r="E759"/>
  <c r="J758"/>
  <c r="I758"/>
  <c r="H758"/>
  <c r="G758"/>
  <c r="F758"/>
  <c r="E758"/>
  <c r="H757"/>
  <c r="G757"/>
  <c r="F757"/>
  <c r="E757"/>
  <c r="G756"/>
  <c r="F756"/>
  <c r="E756"/>
  <c r="J755"/>
  <c r="I755"/>
  <c r="H755"/>
  <c r="G755"/>
  <c r="F755"/>
  <c r="E755"/>
  <c r="J754"/>
  <c r="I754"/>
  <c r="H754"/>
  <c r="G754"/>
  <c r="F754"/>
  <c r="E754"/>
  <c r="J753"/>
  <c r="I753"/>
  <c r="H753"/>
  <c r="G753"/>
  <c r="F753"/>
  <c r="E753"/>
  <c r="J752"/>
  <c r="I752"/>
  <c r="H752"/>
  <c r="G752"/>
  <c r="F752"/>
  <c r="E752"/>
  <c r="G751"/>
  <c r="F751"/>
  <c r="E751"/>
  <c r="J750"/>
  <c r="I750"/>
  <c r="H750"/>
  <c r="G750"/>
  <c r="F750"/>
  <c r="E750"/>
  <c r="G749"/>
  <c r="F749"/>
  <c r="E749"/>
  <c r="H748"/>
  <c r="G748"/>
  <c r="F748"/>
  <c r="E748"/>
  <c r="J747"/>
  <c r="I747"/>
  <c r="H747"/>
  <c r="G747"/>
  <c r="F747"/>
  <c r="E747"/>
  <c r="J746"/>
  <c r="I746"/>
  <c r="H746"/>
  <c r="G746"/>
  <c r="F746"/>
  <c r="E746"/>
  <c r="H745"/>
  <c r="G745"/>
  <c r="F745"/>
  <c r="E745"/>
  <c r="H744"/>
  <c r="G744"/>
  <c r="F744"/>
  <c r="E744"/>
  <c r="H743"/>
  <c r="G743"/>
  <c r="F743"/>
  <c r="E743"/>
  <c r="H742"/>
  <c r="G742"/>
  <c r="F742"/>
  <c r="E742"/>
  <c r="H741"/>
  <c r="G741"/>
  <c r="F741"/>
  <c r="E741"/>
  <c r="J740"/>
  <c r="I740"/>
  <c r="H740"/>
  <c r="G740"/>
  <c r="F740"/>
  <c r="E740"/>
  <c r="J739"/>
  <c r="I739"/>
  <c r="H739"/>
  <c r="G739"/>
  <c r="F739"/>
  <c r="E739"/>
  <c r="J738"/>
  <c r="I738"/>
  <c r="H738"/>
  <c r="G738"/>
  <c r="F738"/>
  <c r="E738"/>
  <c r="G737"/>
  <c r="F737"/>
  <c r="E737"/>
  <c r="J736"/>
  <c r="I736"/>
  <c r="H736"/>
  <c r="G736"/>
  <c r="F736"/>
  <c r="E736"/>
  <c r="J735"/>
  <c r="I735"/>
  <c r="H735"/>
  <c r="G735"/>
  <c r="F735"/>
  <c r="E735"/>
  <c r="G734"/>
  <c r="F734"/>
  <c r="E734"/>
  <c r="J733"/>
  <c r="I733"/>
  <c r="H733"/>
  <c r="G733"/>
  <c r="F733"/>
  <c r="E733"/>
  <c r="J732"/>
  <c r="I732"/>
  <c r="H732"/>
  <c r="G732"/>
  <c r="F732"/>
  <c r="E732"/>
  <c r="J731"/>
  <c r="I731"/>
  <c r="H731"/>
  <c r="G731"/>
  <c r="F731"/>
  <c r="E731"/>
  <c r="G730"/>
  <c r="F730"/>
  <c r="E730"/>
  <c r="J729"/>
  <c r="I729"/>
  <c r="H729"/>
  <c r="G729"/>
  <c r="F729"/>
  <c r="E729"/>
  <c r="J728"/>
  <c r="I728"/>
  <c r="H728"/>
  <c r="G728"/>
  <c r="F728"/>
  <c r="E728"/>
  <c r="G727"/>
  <c r="F727"/>
  <c r="E727"/>
  <c r="J726"/>
  <c r="I726"/>
  <c r="H726"/>
  <c r="G726"/>
  <c r="F726"/>
  <c r="E726"/>
  <c r="J725"/>
  <c r="I725"/>
  <c r="H725"/>
  <c r="G725"/>
  <c r="F725"/>
  <c r="E725"/>
  <c r="J724"/>
  <c r="I724"/>
  <c r="H724"/>
  <c r="G724"/>
  <c r="F724"/>
  <c r="E724"/>
  <c r="G723"/>
  <c r="F723"/>
  <c r="E723"/>
  <c r="J722"/>
  <c r="I722"/>
  <c r="H722"/>
  <c r="G722"/>
  <c r="F722"/>
  <c r="E722"/>
  <c r="J721"/>
  <c r="I721"/>
  <c r="H721"/>
  <c r="G721"/>
  <c r="F721"/>
  <c r="E721"/>
  <c r="J720"/>
  <c r="I720"/>
  <c r="H720"/>
  <c r="G720"/>
  <c r="F720"/>
  <c r="E720"/>
  <c r="J719"/>
  <c r="I719"/>
  <c r="H719"/>
  <c r="G719"/>
  <c r="F719"/>
  <c r="E719"/>
  <c r="G718"/>
  <c r="F718"/>
  <c r="E718"/>
  <c r="J717"/>
  <c r="I717"/>
  <c r="H717"/>
  <c r="G717"/>
  <c r="F717"/>
  <c r="E717"/>
  <c r="J716"/>
  <c r="I716"/>
  <c r="H716"/>
  <c r="G716"/>
  <c r="F716"/>
  <c r="E716"/>
  <c r="G715"/>
  <c r="F715"/>
  <c r="E715"/>
  <c r="J714"/>
  <c r="I714"/>
  <c r="H714"/>
  <c r="G714"/>
  <c r="F714"/>
  <c r="E714"/>
  <c r="G713"/>
  <c r="F713"/>
  <c r="E713"/>
  <c r="J712"/>
  <c r="I712"/>
  <c r="H712"/>
  <c r="G712"/>
  <c r="F712"/>
  <c r="E712"/>
  <c r="H711"/>
  <c r="G711"/>
  <c r="F711"/>
  <c r="E711"/>
  <c r="H710"/>
  <c r="G710"/>
  <c r="F710"/>
  <c r="E710"/>
  <c r="J709"/>
  <c r="I709"/>
  <c r="H709"/>
  <c r="G709"/>
  <c r="F709"/>
  <c r="E709"/>
  <c r="J708"/>
  <c r="I708"/>
  <c r="H708"/>
  <c r="G708"/>
  <c r="F708"/>
  <c r="E708"/>
  <c r="H707"/>
  <c r="G707"/>
  <c r="F707"/>
  <c r="E707"/>
  <c r="J706"/>
  <c r="I706"/>
  <c r="H706"/>
  <c r="G706"/>
  <c r="F706"/>
  <c r="E706"/>
  <c r="H705"/>
  <c r="G705"/>
  <c r="F705"/>
  <c r="E705"/>
  <c r="J704"/>
  <c r="I704"/>
  <c r="H704"/>
  <c r="G704"/>
  <c r="F704"/>
  <c r="E704"/>
  <c r="J703"/>
  <c r="I703"/>
  <c r="H703"/>
  <c r="G703"/>
  <c r="F703"/>
  <c r="E703"/>
  <c r="G702"/>
  <c r="F702"/>
  <c r="E702"/>
  <c r="J701"/>
  <c r="I701"/>
  <c r="H701"/>
  <c r="G701"/>
  <c r="F701"/>
  <c r="E701"/>
  <c r="J700"/>
  <c r="I700"/>
  <c r="H700"/>
  <c r="G700"/>
  <c r="F700"/>
  <c r="E700"/>
  <c r="J699"/>
  <c r="I699"/>
  <c r="H699"/>
  <c r="G699"/>
  <c r="F699"/>
  <c r="E699"/>
  <c r="J698"/>
  <c r="I698"/>
  <c r="H698"/>
  <c r="G698"/>
  <c r="F698"/>
  <c r="E698"/>
  <c r="H697"/>
  <c r="G697"/>
  <c r="F697"/>
  <c r="E697"/>
  <c r="H696"/>
  <c r="G696"/>
  <c r="F696"/>
  <c r="E696"/>
  <c r="H695"/>
  <c r="G695"/>
  <c r="F695"/>
  <c r="E695"/>
  <c r="J694"/>
  <c r="I694"/>
  <c r="H694"/>
  <c r="G694"/>
  <c r="F694"/>
  <c r="E694"/>
  <c r="J693"/>
  <c r="I693"/>
  <c r="H693"/>
  <c r="G693"/>
  <c r="F693"/>
  <c r="E693"/>
  <c r="G692"/>
  <c r="F692"/>
  <c r="E692"/>
  <c r="H691"/>
  <c r="G691"/>
  <c r="F691"/>
  <c r="E691"/>
  <c r="G690"/>
  <c r="F690"/>
  <c r="E690"/>
  <c r="J689"/>
  <c r="I689"/>
  <c r="H689"/>
  <c r="G689"/>
  <c r="F689"/>
  <c r="E689"/>
  <c r="J688"/>
  <c r="I688"/>
  <c r="H688"/>
  <c r="G688"/>
  <c r="F688"/>
  <c r="E688"/>
  <c r="J687"/>
  <c r="I687"/>
  <c r="H687"/>
  <c r="G687"/>
  <c r="F687"/>
  <c r="E687"/>
  <c r="H686"/>
  <c r="G686"/>
  <c r="F686"/>
  <c r="E686"/>
  <c r="J685"/>
  <c r="I685"/>
  <c r="H685"/>
  <c r="G685"/>
  <c r="F685"/>
  <c r="E685"/>
  <c r="G684"/>
  <c r="F684"/>
  <c r="E684"/>
  <c r="J683"/>
  <c r="I683"/>
  <c r="H683"/>
  <c r="G683"/>
  <c r="F683"/>
  <c r="E683"/>
  <c r="J682"/>
  <c r="I682"/>
  <c r="H682"/>
  <c r="G682"/>
  <c r="F682"/>
  <c r="E682"/>
  <c r="J681"/>
  <c r="I681"/>
  <c r="H681"/>
  <c r="G681"/>
  <c r="F681"/>
  <c r="E681"/>
  <c r="J680"/>
  <c r="I680"/>
  <c r="H680"/>
  <c r="G680"/>
  <c r="F680"/>
  <c r="E680"/>
  <c r="J679"/>
  <c r="I679"/>
  <c r="H679"/>
  <c r="G679"/>
  <c r="F679"/>
  <c r="E679"/>
  <c r="H678"/>
  <c r="G678"/>
  <c r="F678"/>
  <c r="E678"/>
  <c r="J677"/>
  <c r="I677"/>
  <c r="H677"/>
  <c r="G677"/>
  <c r="F677"/>
  <c r="E677"/>
  <c r="H676"/>
  <c r="G676"/>
  <c r="F676"/>
  <c r="E676"/>
  <c r="J675"/>
  <c r="I675"/>
  <c r="H675"/>
  <c r="G675"/>
  <c r="F675"/>
  <c r="E675"/>
  <c r="G674"/>
  <c r="F674"/>
  <c r="E674"/>
  <c r="G673"/>
  <c r="F673"/>
  <c r="E673"/>
  <c r="G672"/>
  <c r="F672"/>
  <c r="E672"/>
  <c r="H671"/>
  <c r="G671"/>
  <c r="F671"/>
  <c r="E671"/>
  <c r="H670"/>
  <c r="G670"/>
  <c r="F670"/>
  <c r="E670"/>
  <c r="J669"/>
  <c r="I669"/>
  <c r="H669"/>
  <c r="G669"/>
  <c r="F669"/>
  <c r="E669"/>
  <c r="J668"/>
  <c r="I668"/>
  <c r="H668"/>
  <c r="G668"/>
  <c r="F668"/>
  <c r="E668"/>
  <c r="J667"/>
  <c r="I667"/>
  <c r="H667"/>
  <c r="G667"/>
  <c r="F667"/>
  <c r="E667"/>
  <c r="G666"/>
  <c r="F666"/>
  <c r="E666"/>
  <c r="G665"/>
  <c r="F665"/>
  <c r="E665"/>
  <c r="J664"/>
  <c r="I664"/>
  <c r="H664"/>
  <c r="G664"/>
  <c r="F664"/>
  <c r="E664"/>
  <c r="H663"/>
  <c r="G663"/>
  <c r="F663"/>
  <c r="E663"/>
  <c r="H662"/>
  <c r="G662"/>
  <c r="F662"/>
  <c r="E662"/>
  <c r="H661"/>
  <c r="G661"/>
  <c r="F661"/>
  <c r="E661"/>
  <c r="H660"/>
  <c r="G660"/>
  <c r="F660"/>
  <c r="E660"/>
  <c r="J659"/>
  <c r="I659"/>
  <c r="H659"/>
  <c r="G659"/>
  <c r="F659"/>
  <c r="E659"/>
  <c r="H658"/>
  <c r="G658"/>
  <c r="F658"/>
  <c r="E658"/>
  <c r="J657"/>
  <c r="I657"/>
  <c r="H657"/>
  <c r="G657"/>
  <c r="F657"/>
  <c r="E657"/>
  <c r="G656"/>
  <c r="F656"/>
  <c r="E656"/>
  <c r="H655"/>
  <c r="G655"/>
  <c r="F655"/>
  <c r="E655"/>
  <c r="J654"/>
  <c r="I654"/>
  <c r="H654"/>
  <c r="G654"/>
  <c r="F654"/>
  <c r="E654"/>
  <c r="G653"/>
  <c r="F653"/>
  <c r="E653"/>
  <c r="J652"/>
  <c r="I652"/>
  <c r="H652"/>
  <c r="G652"/>
  <c r="F652"/>
  <c r="E652"/>
  <c r="J651"/>
  <c r="I651"/>
  <c r="H651"/>
  <c r="G651"/>
  <c r="F651"/>
  <c r="E651"/>
  <c r="J650"/>
  <c r="I650"/>
  <c r="H650"/>
  <c r="G650"/>
  <c r="F650"/>
  <c r="E650"/>
  <c r="H649"/>
  <c r="G649"/>
  <c r="F649"/>
  <c r="E649"/>
  <c r="G648"/>
  <c r="F648"/>
  <c r="E648"/>
  <c r="J647"/>
  <c r="I647"/>
  <c r="H647"/>
  <c r="G647"/>
  <c r="F647"/>
  <c r="E647"/>
  <c r="J646"/>
  <c r="I646"/>
  <c r="H646"/>
  <c r="G646"/>
  <c r="F646"/>
  <c r="E646"/>
  <c r="J645"/>
  <c r="I645"/>
  <c r="H645"/>
  <c r="G645"/>
  <c r="F645"/>
  <c r="E645"/>
  <c r="H644"/>
  <c r="G644"/>
  <c r="F644"/>
  <c r="E644"/>
  <c r="J643"/>
  <c r="I643"/>
  <c r="H643"/>
  <c r="G643"/>
  <c r="F643"/>
  <c r="E643"/>
  <c r="H642"/>
  <c r="G642"/>
  <c r="F642"/>
  <c r="E642"/>
  <c r="J641"/>
  <c r="I641"/>
  <c r="H641"/>
  <c r="G641"/>
  <c r="F641"/>
  <c r="E641"/>
  <c r="G640"/>
  <c r="F640"/>
  <c r="E640"/>
  <c r="G639"/>
  <c r="F639"/>
  <c r="E639"/>
  <c r="J638"/>
  <c r="I638"/>
  <c r="H638"/>
  <c r="G638"/>
  <c r="F638"/>
  <c r="E638"/>
  <c r="J637"/>
  <c r="I637"/>
  <c r="H637"/>
  <c r="G637"/>
  <c r="F637"/>
  <c r="E637"/>
  <c r="J636"/>
  <c r="I636"/>
  <c r="H636"/>
  <c r="G636"/>
  <c r="F636"/>
  <c r="E636"/>
  <c r="J635"/>
  <c r="I635"/>
  <c r="H635"/>
  <c r="G635"/>
  <c r="F635"/>
  <c r="E635"/>
  <c r="H634"/>
  <c r="G634"/>
  <c r="F634"/>
  <c r="E634"/>
  <c r="G633"/>
  <c r="F633"/>
  <c r="E633"/>
  <c r="H632"/>
  <c r="G632"/>
  <c r="F632"/>
  <c r="E632"/>
  <c r="G631"/>
  <c r="F631"/>
  <c r="E631"/>
  <c r="H630"/>
  <c r="G630"/>
  <c r="F630"/>
  <c r="E630"/>
  <c r="G629"/>
  <c r="F629"/>
  <c r="E629"/>
  <c r="J628"/>
  <c r="I628"/>
  <c r="H628"/>
  <c r="G628"/>
  <c r="F628"/>
  <c r="E628"/>
  <c r="J627"/>
  <c r="I627"/>
  <c r="H627"/>
  <c r="G627"/>
  <c r="F627"/>
  <c r="E627"/>
  <c r="J626"/>
  <c r="I626"/>
  <c r="H626"/>
  <c r="G626"/>
  <c r="F626"/>
  <c r="E626"/>
  <c r="J625"/>
  <c r="I625"/>
  <c r="H625"/>
  <c r="G625"/>
  <c r="F625"/>
  <c r="E625"/>
  <c r="G624"/>
  <c r="F624"/>
  <c r="E624"/>
  <c r="H623"/>
  <c r="G623"/>
  <c r="F623"/>
  <c r="E623"/>
  <c r="G622"/>
  <c r="F622"/>
  <c r="E622"/>
  <c r="H621"/>
  <c r="G621"/>
  <c r="F621"/>
  <c r="E621"/>
  <c r="H620"/>
  <c r="G620"/>
  <c r="F620"/>
  <c r="E620"/>
  <c r="H619"/>
  <c r="G619"/>
  <c r="F619"/>
  <c r="E619"/>
  <c r="J618"/>
  <c r="I618"/>
  <c r="H618"/>
  <c r="G618"/>
  <c r="F618"/>
  <c r="E618"/>
  <c r="J617"/>
  <c r="I617"/>
  <c r="H617"/>
  <c r="G617"/>
  <c r="F617"/>
  <c r="E617"/>
  <c r="J616"/>
  <c r="I616"/>
  <c r="H616"/>
  <c r="G616"/>
  <c r="F616"/>
  <c r="E616"/>
  <c r="J615"/>
  <c r="I615"/>
  <c r="H615"/>
  <c r="G615"/>
  <c r="F615"/>
  <c r="E615"/>
  <c r="J614"/>
  <c r="I614"/>
  <c r="H614"/>
  <c r="G614"/>
  <c r="F614"/>
  <c r="E614"/>
  <c r="J613"/>
  <c r="I613"/>
  <c r="H613"/>
  <c r="G613"/>
  <c r="F613"/>
  <c r="E613"/>
  <c r="J612"/>
  <c r="I612"/>
  <c r="H612"/>
  <c r="G612"/>
  <c r="F612"/>
  <c r="E612"/>
  <c r="J611"/>
  <c r="I611"/>
  <c r="H611"/>
  <c r="G611"/>
  <c r="F611"/>
  <c r="E611"/>
  <c r="G610"/>
  <c r="F610"/>
  <c r="E610"/>
  <c r="J609"/>
  <c r="I609"/>
  <c r="H609"/>
  <c r="G609"/>
  <c r="F609"/>
  <c r="E609"/>
  <c r="J608"/>
  <c r="I608"/>
  <c r="H608"/>
  <c r="G608"/>
  <c r="F608"/>
  <c r="E608"/>
  <c r="G607"/>
  <c r="F607"/>
  <c r="E607"/>
  <c r="H606"/>
  <c r="G606"/>
  <c r="F606"/>
  <c r="E606"/>
  <c r="G605"/>
  <c r="F605"/>
  <c r="E605"/>
  <c r="H604"/>
  <c r="G604"/>
  <c r="F604"/>
  <c r="E604"/>
  <c r="J603"/>
  <c r="I603"/>
  <c r="H603"/>
  <c r="G603"/>
  <c r="F603"/>
  <c r="E603"/>
  <c r="J602"/>
  <c r="I602"/>
  <c r="H602"/>
  <c r="G602"/>
  <c r="F602"/>
  <c r="E602"/>
  <c r="J601"/>
  <c r="I601"/>
  <c r="H601"/>
  <c r="G601"/>
  <c r="F601"/>
  <c r="E601"/>
  <c r="H600"/>
  <c r="G600"/>
  <c r="F600"/>
  <c r="E600"/>
  <c r="H599"/>
  <c r="G599"/>
  <c r="F599"/>
  <c r="E599"/>
  <c r="J598"/>
  <c r="I598"/>
  <c r="H598"/>
  <c r="G598"/>
  <c r="F598"/>
  <c r="E598"/>
  <c r="J597"/>
  <c r="I597"/>
  <c r="H597"/>
  <c r="G597"/>
  <c r="F597"/>
  <c r="E597"/>
  <c r="H596"/>
  <c r="G596"/>
  <c r="F596"/>
  <c r="E596"/>
  <c r="J595"/>
  <c r="I595"/>
  <c r="H595"/>
  <c r="G595"/>
  <c r="F595"/>
  <c r="E595"/>
  <c r="J594"/>
  <c r="I594"/>
  <c r="H594"/>
  <c r="G594"/>
  <c r="F594"/>
  <c r="E594"/>
  <c r="G593"/>
  <c r="F593"/>
  <c r="E593"/>
  <c r="H592"/>
  <c r="G592"/>
  <c r="F592"/>
  <c r="E592"/>
  <c r="J591"/>
  <c r="I591"/>
  <c r="H591"/>
  <c r="G591"/>
  <c r="F591"/>
  <c r="E591"/>
  <c r="J590"/>
  <c r="I590"/>
  <c r="H590"/>
  <c r="G590"/>
  <c r="F590"/>
  <c r="E590"/>
  <c r="J589"/>
  <c r="I589"/>
  <c r="H589"/>
  <c r="G589"/>
  <c r="F589"/>
  <c r="E589"/>
  <c r="J588"/>
  <c r="I588"/>
  <c r="H588"/>
  <c r="G588"/>
  <c r="F588"/>
  <c r="E588"/>
  <c r="G587"/>
  <c r="F587"/>
  <c r="E587"/>
  <c r="H586"/>
  <c r="G586"/>
  <c r="F586"/>
  <c r="E586"/>
  <c r="J585"/>
  <c r="I585"/>
  <c r="H585"/>
  <c r="G585"/>
  <c r="F585"/>
  <c r="E585"/>
  <c r="J584"/>
  <c r="I584"/>
  <c r="H584"/>
  <c r="G584"/>
  <c r="F584"/>
  <c r="E584"/>
  <c r="H583"/>
  <c r="G583"/>
  <c r="F583"/>
  <c r="E583"/>
  <c r="J582"/>
  <c r="I582"/>
  <c r="H582"/>
  <c r="G582"/>
  <c r="F582"/>
  <c r="E582"/>
  <c r="J581"/>
  <c r="I581"/>
  <c r="H581"/>
  <c r="G581"/>
  <c r="F581"/>
  <c r="E581"/>
  <c r="J580"/>
  <c r="I580"/>
  <c r="H580"/>
  <c r="G580"/>
  <c r="F580"/>
  <c r="E580"/>
  <c r="J579"/>
  <c r="I579"/>
  <c r="H579"/>
  <c r="G579"/>
  <c r="F579"/>
  <c r="E579"/>
  <c r="J578"/>
  <c r="I578"/>
  <c r="H578"/>
  <c r="G578"/>
  <c r="F578"/>
  <c r="E578"/>
  <c r="J577"/>
  <c r="I577"/>
  <c r="H577"/>
  <c r="G577"/>
  <c r="F577"/>
  <c r="E577"/>
  <c r="J576"/>
  <c r="I576"/>
  <c r="H576"/>
  <c r="G576"/>
  <c r="F576"/>
  <c r="E576"/>
  <c r="H575"/>
  <c r="G575"/>
  <c r="F575"/>
  <c r="E575"/>
  <c r="J574"/>
  <c r="I574"/>
  <c r="H574"/>
  <c r="G574"/>
  <c r="F574"/>
  <c r="E574"/>
  <c r="H573"/>
  <c r="G573"/>
  <c r="F573"/>
  <c r="E573"/>
  <c r="J572"/>
  <c r="I572"/>
  <c r="H572"/>
  <c r="G572"/>
  <c r="F572"/>
  <c r="E572"/>
  <c r="J571"/>
  <c r="I571"/>
  <c r="H571"/>
  <c r="G571"/>
  <c r="F571"/>
  <c r="E571"/>
  <c r="J570"/>
  <c r="I570"/>
  <c r="H570"/>
  <c r="G570"/>
  <c r="F570"/>
  <c r="E570"/>
  <c r="J569"/>
  <c r="I569"/>
  <c r="H569"/>
  <c r="G569"/>
  <c r="F569"/>
  <c r="E569"/>
  <c r="J568"/>
  <c r="I568"/>
  <c r="H568"/>
  <c r="G568"/>
  <c r="F568"/>
  <c r="E568"/>
  <c r="H567"/>
  <c r="G567"/>
  <c r="F567"/>
  <c r="E567"/>
  <c r="J566"/>
  <c r="I566"/>
  <c r="H566"/>
  <c r="G566"/>
  <c r="F566"/>
  <c r="E566"/>
  <c r="J565"/>
  <c r="I565"/>
  <c r="H565"/>
  <c r="G565"/>
  <c r="F565"/>
  <c r="E565"/>
  <c r="J564"/>
  <c r="I564"/>
  <c r="H564"/>
  <c r="G564"/>
  <c r="F564"/>
  <c r="E564"/>
  <c r="J563"/>
  <c r="I563"/>
  <c r="H563"/>
  <c r="G563"/>
  <c r="F563"/>
  <c r="E563"/>
  <c r="J562"/>
  <c r="I562"/>
  <c r="H562"/>
  <c r="G562"/>
  <c r="F562"/>
  <c r="E562"/>
  <c r="G561"/>
  <c r="F561"/>
  <c r="E561"/>
  <c r="J560"/>
  <c r="I560"/>
  <c r="H560"/>
  <c r="G560"/>
  <c r="F560"/>
  <c r="E560"/>
  <c r="G559"/>
  <c r="F559"/>
  <c r="E559"/>
  <c r="H558"/>
  <c r="G558"/>
  <c r="F558"/>
  <c r="E558"/>
  <c r="J557"/>
  <c r="I557"/>
  <c r="H557"/>
  <c r="G557"/>
  <c r="F557"/>
  <c r="E557"/>
  <c r="G556"/>
  <c r="F556"/>
  <c r="E556"/>
  <c r="J555"/>
  <c r="I555"/>
  <c r="H555"/>
  <c r="G555"/>
  <c r="F555"/>
  <c r="E555"/>
  <c r="J554"/>
  <c r="I554"/>
  <c r="H554"/>
  <c r="G554"/>
  <c r="F554"/>
  <c r="E554"/>
  <c r="H553"/>
  <c r="G553"/>
  <c r="F553"/>
  <c r="E553"/>
  <c r="J552"/>
  <c r="I552"/>
  <c r="H552"/>
  <c r="G552"/>
  <c r="F552"/>
  <c r="E552"/>
  <c r="J551"/>
  <c r="I551"/>
  <c r="H551"/>
  <c r="G551"/>
  <c r="F551"/>
  <c r="E551"/>
  <c r="G550"/>
  <c r="F550"/>
  <c r="E550"/>
  <c r="G549"/>
  <c r="F549"/>
  <c r="E549"/>
  <c r="G548"/>
  <c r="F548"/>
  <c r="E548"/>
  <c r="H547"/>
  <c r="G547"/>
  <c r="F547"/>
  <c r="E547"/>
  <c r="J546"/>
  <c r="I546"/>
  <c r="H546"/>
  <c r="G546"/>
  <c r="F546"/>
  <c r="E546"/>
  <c r="J545"/>
  <c r="I545"/>
  <c r="H545"/>
  <c r="G545"/>
  <c r="F545"/>
  <c r="E545"/>
  <c r="H544"/>
  <c r="G544"/>
  <c r="F544"/>
  <c r="E544"/>
  <c r="G543"/>
  <c r="F543"/>
  <c r="E543"/>
  <c r="J542"/>
  <c r="I542"/>
  <c r="H542"/>
  <c r="G542"/>
  <c r="F542"/>
  <c r="E542"/>
  <c r="J541"/>
  <c r="I541"/>
  <c r="H541"/>
  <c r="G541"/>
  <c r="F541"/>
  <c r="E541"/>
  <c r="J540"/>
  <c r="I540"/>
  <c r="H540"/>
  <c r="G540"/>
  <c r="F540"/>
  <c r="E540"/>
  <c r="H539"/>
  <c r="G539"/>
  <c r="F539"/>
  <c r="E539"/>
  <c r="G538"/>
  <c r="F538"/>
  <c r="E538"/>
  <c r="J537"/>
  <c r="I537"/>
  <c r="H537"/>
  <c r="G537"/>
  <c r="F537"/>
  <c r="E537"/>
  <c r="J536"/>
  <c r="I536"/>
  <c r="H536"/>
  <c r="G536"/>
  <c r="F536"/>
  <c r="E536"/>
  <c r="J535"/>
  <c r="I535"/>
  <c r="H535"/>
  <c r="G535"/>
  <c r="F535"/>
  <c r="E535"/>
  <c r="H534"/>
  <c r="G534"/>
  <c r="F534"/>
  <c r="E534"/>
  <c r="J533"/>
  <c r="I533"/>
  <c r="H533"/>
  <c r="G533"/>
  <c r="F533"/>
  <c r="E533"/>
  <c r="J532"/>
  <c r="I532"/>
  <c r="H532"/>
  <c r="G532"/>
  <c r="F532"/>
  <c r="E532"/>
  <c r="H531"/>
  <c r="G531"/>
  <c r="F531"/>
  <c r="E531"/>
  <c r="J530"/>
  <c r="I530"/>
  <c r="H530"/>
  <c r="G530"/>
  <c r="F530"/>
  <c r="E530"/>
  <c r="G529"/>
  <c r="F529"/>
  <c r="E529"/>
  <c r="G528"/>
  <c r="F528"/>
  <c r="E528"/>
  <c r="J527"/>
  <c r="I527"/>
  <c r="H527"/>
  <c r="G527"/>
  <c r="F527"/>
  <c r="E527"/>
  <c r="H526"/>
  <c r="G526"/>
  <c r="F526"/>
  <c r="E526"/>
  <c r="J525"/>
  <c r="I525"/>
  <c r="H525"/>
  <c r="G525"/>
  <c r="F525"/>
  <c r="E525"/>
  <c r="J524"/>
  <c r="I524"/>
  <c r="H524"/>
  <c r="G524"/>
  <c r="F524"/>
  <c r="E524"/>
  <c r="H523"/>
  <c r="G523"/>
  <c r="F523"/>
  <c r="E523"/>
  <c r="J522"/>
  <c r="I522"/>
  <c r="H522"/>
  <c r="G522"/>
  <c r="F522"/>
  <c r="E522"/>
  <c r="H521"/>
  <c r="G521"/>
  <c r="F521"/>
  <c r="E521"/>
  <c r="J520"/>
  <c r="I520"/>
  <c r="H520"/>
  <c r="G520"/>
  <c r="F520"/>
  <c r="E520"/>
  <c r="J519"/>
  <c r="I519"/>
  <c r="H519"/>
  <c r="G519"/>
  <c r="F519"/>
  <c r="E519"/>
  <c r="G518"/>
  <c r="F518"/>
  <c r="E518"/>
  <c r="J517"/>
  <c r="I517"/>
  <c r="H517"/>
  <c r="G517"/>
  <c r="F517"/>
  <c r="E517"/>
  <c r="J516"/>
  <c r="I516"/>
  <c r="H516"/>
  <c r="G516"/>
  <c r="F516"/>
  <c r="E516"/>
  <c r="J515"/>
  <c r="I515"/>
  <c r="H515"/>
  <c r="G515"/>
  <c r="F515"/>
  <c r="E515"/>
  <c r="J514"/>
  <c r="I514"/>
  <c r="H514"/>
  <c r="G514"/>
  <c r="F514"/>
  <c r="E514"/>
  <c r="J513"/>
  <c r="I513"/>
  <c r="H513"/>
  <c r="G513"/>
  <c r="F513"/>
  <c r="E513"/>
  <c r="J512"/>
  <c r="I512"/>
  <c r="H512"/>
  <c r="G512"/>
  <c r="F512"/>
  <c r="E512"/>
  <c r="J511"/>
  <c r="I511"/>
  <c r="H511"/>
  <c r="G511"/>
  <c r="F511"/>
  <c r="E511"/>
  <c r="J510"/>
  <c r="I510"/>
  <c r="H510"/>
  <c r="G510"/>
  <c r="F510"/>
  <c r="E510"/>
  <c r="H509"/>
  <c r="G509"/>
  <c r="F509"/>
  <c r="E509"/>
  <c r="G508"/>
  <c r="F508"/>
  <c r="E508"/>
  <c r="J507"/>
  <c r="I507"/>
  <c r="H507"/>
  <c r="G507"/>
  <c r="F507"/>
  <c r="E507"/>
  <c r="J506"/>
  <c r="I506"/>
  <c r="H506"/>
  <c r="G506"/>
  <c r="F506"/>
  <c r="E506"/>
  <c r="G505"/>
  <c r="F505"/>
  <c r="E505"/>
  <c r="H504"/>
  <c r="G504"/>
  <c r="F504"/>
  <c r="E504"/>
  <c r="J503"/>
  <c r="I503"/>
  <c r="H503"/>
  <c r="G503"/>
  <c r="F503"/>
  <c r="E503"/>
  <c r="J502"/>
  <c r="I502"/>
  <c r="H502"/>
  <c r="G502"/>
  <c r="F502"/>
  <c r="E502"/>
  <c r="J501"/>
  <c r="I501"/>
  <c r="H501"/>
  <c r="G501"/>
  <c r="F501"/>
  <c r="E501"/>
  <c r="J500"/>
  <c r="I500"/>
  <c r="H500"/>
  <c r="G500"/>
  <c r="F500"/>
  <c r="E500"/>
  <c r="H499"/>
  <c r="G499"/>
  <c r="F499"/>
  <c r="E499"/>
  <c r="H498"/>
  <c r="G498"/>
  <c r="F498"/>
  <c r="E498"/>
  <c r="J497"/>
  <c r="I497"/>
  <c r="H497"/>
  <c r="G497"/>
  <c r="F497"/>
  <c r="E497"/>
  <c r="J496"/>
  <c r="I496"/>
  <c r="H496"/>
  <c r="G496"/>
  <c r="F496"/>
  <c r="E496"/>
  <c r="H495"/>
  <c r="G495"/>
  <c r="F495"/>
  <c r="E495"/>
  <c r="J494"/>
  <c r="I494"/>
  <c r="H494"/>
  <c r="G494"/>
  <c r="F494"/>
  <c r="E494"/>
  <c r="J493"/>
  <c r="I493"/>
  <c r="H493"/>
  <c r="G493"/>
  <c r="F493"/>
  <c r="E493"/>
  <c r="J492"/>
  <c r="I492"/>
  <c r="H492"/>
  <c r="G492"/>
  <c r="F492"/>
  <c r="E492"/>
  <c r="H491"/>
  <c r="G491"/>
  <c r="F491"/>
  <c r="E491"/>
  <c r="J490"/>
  <c r="I490"/>
  <c r="H490"/>
  <c r="G490"/>
  <c r="F490"/>
  <c r="E490"/>
  <c r="G489"/>
  <c r="F489"/>
  <c r="E489"/>
  <c r="H488"/>
  <c r="G488"/>
  <c r="F488"/>
  <c r="E488"/>
  <c r="J487"/>
  <c r="I487"/>
  <c r="H487"/>
  <c r="G487"/>
  <c r="F487"/>
  <c r="E487"/>
  <c r="H486"/>
  <c r="G486"/>
  <c r="F486"/>
  <c r="E486"/>
  <c r="G485"/>
  <c r="F485"/>
  <c r="E485"/>
  <c r="J484"/>
  <c r="I484"/>
  <c r="H484"/>
  <c r="G484"/>
  <c r="F484"/>
  <c r="E484"/>
  <c r="J483"/>
  <c r="I483"/>
  <c r="H483"/>
  <c r="G483"/>
  <c r="F483"/>
  <c r="E483"/>
  <c r="H482"/>
  <c r="G482"/>
  <c r="F482"/>
  <c r="E482"/>
  <c r="J481"/>
  <c r="I481"/>
  <c r="H481"/>
  <c r="G481"/>
  <c r="F481"/>
  <c r="E481"/>
  <c r="G480"/>
  <c r="F480"/>
  <c r="E480"/>
  <c r="G479"/>
  <c r="F479"/>
  <c r="E479"/>
  <c r="G478"/>
  <c r="F478"/>
  <c r="E478"/>
  <c r="J477"/>
  <c r="I477"/>
  <c r="H477"/>
  <c r="G477"/>
  <c r="F477"/>
  <c r="E477"/>
  <c r="G476"/>
  <c r="F476"/>
  <c r="E476"/>
  <c r="J475"/>
  <c r="I475"/>
  <c r="H475"/>
  <c r="G475"/>
  <c r="F475"/>
  <c r="E475"/>
  <c r="J474"/>
  <c r="I474"/>
  <c r="H474"/>
  <c r="G474"/>
  <c r="F474"/>
  <c r="E474"/>
  <c r="J473"/>
  <c r="I473"/>
  <c r="H473"/>
  <c r="G473"/>
  <c r="F473"/>
  <c r="E473"/>
  <c r="J472"/>
  <c r="I472"/>
  <c r="H472"/>
  <c r="G472"/>
  <c r="F472"/>
  <c r="E472"/>
  <c r="J471"/>
  <c r="I471"/>
  <c r="H471"/>
  <c r="G471"/>
  <c r="F471"/>
  <c r="E471"/>
  <c r="J470"/>
  <c r="I470"/>
  <c r="H470"/>
  <c r="G470"/>
  <c r="F470"/>
  <c r="E470"/>
  <c r="J469"/>
  <c r="I469"/>
  <c r="H469"/>
  <c r="G469"/>
  <c r="F469"/>
  <c r="E469"/>
  <c r="J468"/>
  <c r="I468"/>
  <c r="H468"/>
  <c r="G468"/>
  <c r="F468"/>
  <c r="E468"/>
  <c r="J467"/>
  <c r="I467"/>
  <c r="H467"/>
  <c r="G467"/>
  <c r="F467"/>
  <c r="E467"/>
  <c r="J466"/>
  <c r="I466"/>
  <c r="H466"/>
  <c r="G466"/>
  <c r="F466"/>
  <c r="E466"/>
  <c r="J465"/>
  <c r="I465"/>
  <c r="H465"/>
  <c r="G465"/>
  <c r="F465"/>
  <c r="E465"/>
  <c r="J464"/>
  <c r="I464"/>
  <c r="H464"/>
  <c r="G464"/>
  <c r="F464"/>
  <c r="E464"/>
  <c r="J463"/>
  <c r="I463"/>
  <c r="H463"/>
  <c r="G463"/>
  <c r="F463"/>
  <c r="E463"/>
  <c r="J462"/>
  <c r="I462"/>
  <c r="H462"/>
  <c r="G462"/>
  <c r="F462"/>
  <c r="E462"/>
  <c r="H461"/>
  <c r="G461"/>
  <c r="F461"/>
  <c r="E461"/>
  <c r="J460"/>
  <c r="I460"/>
  <c r="H460"/>
  <c r="G460"/>
  <c r="F460"/>
  <c r="E460"/>
  <c r="G459"/>
  <c r="F459"/>
  <c r="E459"/>
  <c r="J458"/>
  <c r="I458"/>
  <c r="H458"/>
  <c r="G458"/>
  <c r="F458"/>
  <c r="E458"/>
  <c r="J457"/>
  <c r="I457"/>
  <c r="H457"/>
  <c r="G457"/>
  <c r="F457"/>
  <c r="E457"/>
  <c r="J456"/>
  <c r="I456"/>
  <c r="H456"/>
  <c r="G456"/>
  <c r="F456"/>
  <c r="E456"/>
  <c r="J455"/>
  <c r="I455"/>
  <c r="H455"/>
  <c r="G455"/>
  <c r="F455"/>
  <c r="E455"/>
  <c r="J454"/>
  <c r="I454"/>
  <c r="H454"/>
  <c r="G454"/>
  <c r="F454"/>
  <c r="E454"/>
  <c r="J453"/>
  <c r="I453"/>
  <c r="H453"/>
  <c r="G453"/>
  <c r="F453"/>
  <c r="E453"/>
  <c r="H452"/>
  <c r="G452"/>
  <c r="F452"/>
  <c r="E452"/>
  <c r="H451"/>
  <c r="G451"/>
  <c r="F451"/>
  <c r="E451"/>
  <c r="J450"/>
  <c r="I450"/>
  <c r="H450"/>
  <c r="G450"/>
  <c r="F450"/>
  <c r="E450"/>
  <c r="J449"/>
  <c r="I449"/>
  <c r="H449"/>
  <c r="G449"/>
  <c r="F449"/>
  <c r="E449"/>
  <c r="J448"/>
  <c r="I448"/>
  <c r="H448"/>
  <c r="G448"/>
  <c r="F448"/>
  <c r="E448"/>
  <c r="J447"/>
  <c r="I447"/>
  <c r="H447"/>
  <c r="G447"/>
  <c r="F447"/>
  <c r="E447"/>
  <c r="J446"/>
  <c r="I446"/>
  <c r="H446"/>
  <c r="G446"/>
  <c r="F446"/>
  <c r="E446"/>
  <c r="G445"/>
  <c r="F445"/>
  <c r="E445"/>
  <c r="J444"/>
  <c r="I444"/>
  <c r="H444"/>
  <c r="G444"/>
  <c r="F444"/>
  <c r="E444"/>
  <c r="J443"/>
  <c r="I443"/>
  <c r="H443"/>
  <c r="G443"/>
  <c r="F443"/>
  <c r="E443"/>
  <c r="J442"/>
  <c r="I442"/>
  <c r="H442"/>
  <c r="G442"/>
  <c r="F442"/>
  <c r="E442"/>
  <c r="H441"/>
  <c r="G441"/>
  <c r="F441"/>
  <c r="E441"/>
  <c r="G440"/>
  <c r="F440"/>
  <c r="E440"/>
  <c r="H439"/>
  <c r="G439"/>
  <c r="F439"/>
  <c r="E439"/>
  <c r="H438"/>
  <c r="G438"/>
  <c r="F438"/>
  <c r="E438"/>
  <c r="J437"/>
  <c r="I437"/>
  <c r="H437"/>
  <c r="G437"/>
  <c r="F437"/>
  <c r="E437"/>
  <c r="H436"/>
  <c r="G436"/>
  <c r="F436"/>
  <c r="E436"/>
  <c r="H435"/>
  <c r="G435"/>
  <c r="F435"/>
  <c r="E435"/>
  <c r="J434"/>
  <c r="I434"/>
  <c r="H434"/>
  <c r="G434"/>
  <c r="F434"/>
  <c r="E434"/>
  <c r="J433"/>
  <c r="I433"/>
  <c r="H433"/>
  <c r="G433"/>
  <c r="F433"/>
  <c r="E433"/>
  <c r="J432"/>
  <c r="I432"/>
  <c r="H432"/>
  <c r="G432"/>
  <c r="F432"/>
  <c r="E432"/>
  <c r="J431"/>
  <c r="I431"/>
  <c r="H431"/>
  <c r="G431"/>
  <c r="F431"/>
  <c r="E431"/>
  <c r="H430"/>
  <c r="G430"/>
  <c r="F430"/>
  <c r="E430"/>
  <c r="J429"/>
  <c r="I429"/>
  <c r="H429"/>
  <c r="G429"/>
  <c r="F429"/>
  <c r="E429"/>
  <c r="J428"/>
  <c r="I428"/>
  <c r="H428"/>
  <c r="G428"/>
  <c r="F428"/>
  <c r="E428"/>
  <c r="J427"/>
  <c r="I427"/>
  <c r="H427"/>
  <c r="G427"/>
  <c r="F427"/>
  <c r="E427"/>
  <c r="J426"/>
  <c r="I426"/>
  <c r="H426"/>
  <c r="G426"/>
  <c r="F426"/>
  <c r="E426"/>
  <c r="H425"/>
  <c r="G425"/>
  <c r="F425"/>
  <c r="E425"/>
  <c r="J424"/>
  <c r="I424"/>
  <c r="H424"/>
  <c r="G424"/>
  <c r="F424"/>
  <c r="E424"/>
  <c r="J423"/>
  <c r="I423"/>
  <c r="H423"/>
  <c r="G423"/>
  <c r="F423"/>
  <c r="E423"/>
  <c r="J422"/>
  <c r="I422"/>
  <c r="H422"/>
  <c r="G422"/>
  <c r="F422"/>
  <c r="E422"/>
  <c r="J421"/>
  <c r="I421"/>
  <c r="H421"/>
  <c r="G421"/>
  <c r="F421"/>
  <c r="E421"/>
  <c r="J420"/>
  <c r="I420"/>
  <c r="H420"/>
  <c r="G420"/>
  <c r="F420"/>
  <c r="E420"/>
  <c r="J419"/>
  <c r="I419"/>
  <c r="H419"/>
  <c r="G419"/>
  <c r="F419"/>
  <c r="E419"/>
  <c r="J418"/>
  <c r="I418"/>
  <c r="H418"/>
  <c r="G418"/>
  <c r="F418"/>
  <c r="E418"/>
  <c r="H417"/>
  <c r="G417"/>
  <c r="F417"/>
  <c r="E417"/>
  <c r="J416"/>
  <c r="I416"/>
  <c r="H416"/>
  <c r="G416"/>
  <c r="F416"/>
  <c r="E416"/>
  <c r="J415"/>
  <c r="I415"/>
  <c r="H415"/>
  <c r="G415"/>
  <c r="F415"/>
  <c r="E415"/>
  <c r="H414"/>
  <c r="G414"/>
  <c r="F414"/>
  <c r="E414"/>
  <c r="G413"/>
  <c r="F413"/>
  <c r="E413"/>
  <c r="J412"/>
  <c r="I412"/>
  <c r="H412"/>
  <c r="G412"/>
  <c r="F412"/>
  <c r="E412"/>
  <c r="J411"/>
  <c r="I411"/>
  <c r="H411"/>
  <c r="G411"/>
  <c r="F411"/>
  <c r="E411"/>
  <c r="J410"/>
  <c r="I410"/>
  <c r="H410"/>
  <c r="G410"/>
  <c r="F410"/>
  <c r="E410"/>
  <c r="J409"/>
  <c r="I409"/>
  <c r="H409"/>
  <c r="G409"/>
  <c r="F409"/>
  <c r="E409"/>
  <c r="J408"/>
  <c r="I408"/>
  <c r="H408"/>
  <c r="G408"/>
  <c r="F408"/>
  <c r="E408"/>
  <c r="H407"/>
  <c r="G407"/>
  <c r="F407"/>
  <c r="E407"/>
  <c r="J406"/>
  <c r="I406"/>
  <c r="H406"/>
  <c r="G406"/>
  <c r="F406"/>
  <c r="E406"/>
  <c r="H405"/>
  <c r="G405"/>
  <c r="F405"/>
  <c r="E405"/>
  <c r="J404"/>
  <c r="I404"/>
  <c r="H404"/>
  <c r="G404"/>
  <c r="F404"/>
  <c r="E404"/>
  <c r="G403"/>
  <c r="F403"/>
  <c r="E403"/>
  <c r="J402"/>
  <c r="I402"/>
  <c r="H402"/>
  <c r="G402"/>
  <c r="F402"/>
  <c r="E402"/>
  <c r="J401"/>
  <c r="I401"/>
  <c r="H401"/>
  <c r="G401"/>
  <c r="F401"/>
  <c r="E401"/>
  <c r="J400"/>
  <c r="I400"/>
  <c r="H400"/>
  <c r="G400"/>
  <c r="F400"/>
  <c r="E400"/>
  <c r="G399"/>
  <c r="F399"/>
  <c r="E399"/>
  <c r="J398"/>
  <c r="I398"/>
  <c r="H398"/>
  <c r="G398"/>
  <c r="F398"/>
  <c r="E398"/>
  <c r="J397"/>
  <c r="I397"/>
  <c r="H397"/>
  <c r="G397"/>
  <c r="F397"/>
  <c r="E397"/>
  <c r="G396"/>
  <c r="F396"/>
  <c r="E396"/>
  <c r="H395"/>
  <c r="G395"/>
  <c r="F395"/>
  <c r="E395"/>
  <c r="J394"/>
  <c r="I394"/>
  <c r="H394"/>
  <c r="G394"/>
  <c r="F394"/>
  <c r="E394"/>
  <c r="H393"/>
  <c r="G393"/>
  <c r="F393"/>
  <c r="E393"/>
  <c r="J392"/>
  <c r="I392"/>
  <c r="H392"/>
  <c r="G392"/>
  <c r="F392"/>
  <c r="E392"/>
  <c r="J391"/>
  <c r="I391"/>
  <c r="H391"/>
  <c r="G391"/>
  <c r="F391"/>
  <c r="E391"/>
  <c r="G390"/>
  <c r="F390"/>
  <c r="E390"/>
  <c r="J389"/>
  <c r="I389"/>
  <c r="H389"/>
  <c r="G389"/>
  <c r="F389"/>
  <c r="E389"/>
  <c r="J388"/>
  <c r="I388"/>
  <c r="H388"/>
  <c r="G388"/>
  <c r="F388"/>
  <c r="E388"/>
  <c r="J387"/>
  <c r="I387"/>
  <c r="H387"/>
  <c r="G387"/>
  <c r="F387"/>
  <c r="E387"/>
  <c r="G386"/>
  <c r="F386"/>
  <c r="E386"/>
  <c r="J385"/>
  <c r="I385"/>
  <c r="H385"/>
  <c r="G385"/>
  <c r="F385"/>
  <c r="E385"/>
  <c r="G384"/>
  <c r="F384"/>
  <c r="E384"/>
  <c r="J383"/>
  <c r="I383"/>
  <c r="H383"/>
  <c r="G383"/>
  <c r="F383"/>
  <c r="E383"/>
  <c r="J382"/>
  <c r="I382"/>
  <c r="H382"/>
  <c r="G382"/>
  <c r="F382"/>
  <c r="E382"/>
  <c r="J381"/>
  <c r="I381"/>
  <c r="H381"/>
  <c r="G381"/>
  <c r="F381"/>
  <c r="E381"/>
  <c r="J380"/>
  <c r="I380"/>
  <c r="H380"/>
  <c r="G380"/>
  <c r="F380"/>
  <c r="E380"/>
  <c r="G379"/>
  <c r="F379"/>
  <c r="E379"/>
  <c r="H378"/>
  <c r="G378"/>
  <c r="F378"/>
  <c r="E378"/>
  <c r="J377"/>
  <c r="I377"/>
  <c r="H377"/>
  <c r="G377"/>
  <c r="F377"/>
  <c r="E377"/>
  <c r="J376"/>
  <c r="I376"/>
  <c r="H376"/>
  <c r="G376"/>
  <c r="F376"/>
  <c r="E376"/>
  <c r="J375"/>
  <c r="I375"/>
  <c r="H375"/>
  <c r="G375"/>
  <c r="F375"/>
  <c r="E375"/>
  <c r="H374"/>
  <c r="G374"/>
  <c r="F374"/>
  <c r="E374"/>
  <c r="H373"/>
  <c r="G373"/>
  <c r="F373"/>
  <c r="E373"/>
  <c r="G372"/>
  <c r="F372"/>
  <c r="E372"/>
  <c r="J371"/>
  <c r="I371"/>
  <c r="H371"/>
  <c r="G371"/>
  <c r="F371"/>
  <c r="E371"/>
  <c r="J370"/>
  <c r="I370"/>
  <c r="H370"/>
  <c r="G370"/>
  <c r="F370"/>
  <c r="E370"/>
  <c r="G369"/>
  <c r="F369"/>
  <c r="E369"/>
  <c r="J368"/>
  <c r="I368"/>
  <c r="H368"/>
  <c r="G368"/>
  <c r="F368"/>
  <c r="E368"/>
  <c r="J367"/>
  <c r="I367"/>
  <c r="H367"/>
  <c r="G367"/>
  <c r="F367"/>
  <c r="E367"/>
  <c r="J366"/>
  <c r="I366"/>
  <c r="H366"/>
  <c r="G366"/>
  <c r="F366"/>
  <c r="E366"/>
  <c r="H365"/>
  <c r="G365"/>
  <c r="F365"/>
  <c r="E365"/>
  <c r="J364"/>
  <c r="I364"/>
  <c r="H364"/>
  <c r="G364"/>
  <c r="F364"/>
  <c r="E364"/>
  <c r="J363"/>
  <c r="I363"/>
  <c r="H363"/>
  <c r="G363"/>
  <c r="F363"/>
  <c r="E363"/>
  <c r="J362"/>
  <c r="I362"/>
  <c r="H362"/>
  <c r="G362"/>
  <c r="F362"/>
  <c r="E362"/>
  <c r="J361"/>
  <c r="I361"/>
  <c r="H361"/>
  <c r="G361"/>
  <c r="F361"/>
  <c r="E361"/>
  <c r="H360"/>
  <c r="G360"/>
  <c r="F360"/>
  <c r="E360"/>
  <c r="J359"/>
  <c r="I359"/>
  <c r="H359"/>
  <c r="G359"/>
  <c r="F359"/>
  <c r="E359"/>
  <c r="J358"/>
  <c r="I358"/>
  <c r="H358"/>
  <c r="G358"/>
  <c r="F358"/>
  <c r="E358"/>
  <c r="J357"/>
  <c r="I357"/>
  <c r="H357"/>
  <c r="G357"/>
  <c r="F357"/>
  <c r="E357"/>
  <c r="J356"/>
  <c r="I356"/>
  <c r="H356"/>
  <c r="G356"/>
  <c r="F356"/>
  <c r="E356"/>
  <c r="J355"/>
  <c r="I355"/>
  <c r="H355"/>
  <c r="G355"/>
  <c r="F355"/>
  <c r="E355"/>
  <c r="J354"/>
  <c r="I354"/>
  <c r="H354"/>
  <c r="G354"/>
  <c r="F354"/>
  <c r="E354"/>
  <c r="J353"/>
  <c r="I353"/>
  <c r="H353"/>
  <c r="G353"/>
  <c r="F353"/>
  <c r="E353"/>
  <c r="J352"/>
  <c r="I352"/>
  <c r="H352"/>
  <c r="G352"/>
  <c r="F352"/>
  <c r="E352"/>
  <c r="J351"/>
  <c r="I351"/>
  <c r="H351"/>
  <c r="G351"/>
  <c r="F351"/>
  <c r="E351"/>
  <c r="J350"/>
  <c r="I350"/>
  <c r="H350"/>
  <c r="G350"/>
  <c r="F350"/>
  <c r="E350"/>
  <c r="J349"/>
  <c r="I349"/>
  <c r="H349"/>
  <c r="G349"/>
  <c r="F349"/>
  <c r="E349"/>
  <c r="H348"/>
  <c r="G348"/>
  <c r="F348"/>
  <c r="E348"/>
  <c r="J347"/>
  <c r="I347"/>
  <c r="H347"/>
  <c r="G347"/>
  <c r="F347"/>
  <c r="E347"/>
  <c r="H346"/>
  <c r="G346"/>
  <c r="F346"/>
  <c r="E346"/>
  <c r="H345"/>
  <c r="G345"/>
  <c r="F345"/>
  <c r="E345"/>
  <c r="J344"/>
  <c r="I344"/>
  <c r="H344"/>
  <c r="G344"/>
  <c r="F344"/>
  <c r="E344"/>
  <c r="J343"/>
  <c r="I343"/>
  <c r="H343"/>
  <c r="G343"/>
  <c r="F343"/>
  <c r="E343"/>
  <c r="J342"/>
  <c r="I342"/>
  <c r="H342"/>
  <c r="G342"/>
  <c r="F342"/>
  <c r="E342"/>
  <c r="G341"/>
  <c r="F341"/>
  <c r="E341"/>
  <c r="J340"/>
  <c r="I340"/>
  <c r="H340"/>
  <c r="G340"/>
  <c r="F340"/>
  <c r="E340"/>
  <c r="J339"/>
  <c r="I339"/>
  <c r="H339"/>
  <c r="G339"/>
  <c r="F339"/>
  <c r="E339"/>
  <c r="J338"/>
  <c r="I338"/>
  <c r="H338"/>
  <c r="G338"/>
  <c r="F338"/>
  <c r="E338"/>
  <c r="H337"/>
  <c r="G337"/>
  <c r="F337"/>
  <c r="E337"/>
  <c r="J336"/>
  <c r="I336"/>
  <c r="H336"/>
  <c r="G336"/>
  <c r="F336"/>
  <c r="E336"/>
  <c r="J335"/>
  <c r="I335"/>
  <c r="H335"/>
  <c r="G335"/>
  <c r="F335"/>
  <c r="E335"/>
  <c r="J334"/>
  <c r="I334"/>
  <c r="H334"/>
  <c r="G334"/>
  <c r="F334"/>
  <c r="E334"/>
  <c r="H333"/>
  <c r="G333"/>
  <c r="F333"/>
  <c r="E333"/>
  <c r="J332"/>
  <c r="I332"/>
  <c r="H332"/>
  <c r="G332"/>
  <c r="F332"/>
  <c r="E332"/>
  <c r="J331"/>
  <c r="I331"/>
  <c r="H331"/>
  <c r="G331"/>
  <c r="F331"/>
  <c r="E331"/>
  <c r="J330"/>
  <c r="I330"/>
  <c r="H330"/>
  <c r="G330"/>
  <c r="F330"/>
  <c r="E330"/>
  <c r="H329"/>
  <c r="G329"/>
  <c r="F329"/>
  <c r="E329"/>
  <c r="H328"/>
  <c r="G328"/>
  <c r="F328"/>
  <c r="E328"/>
  <c r="J327"/>
  <c r="I327"/>
  <c r="H327"/>
  <c r="G327"/>
  <c r="F327"/>
  <c r="E327"/>
  <c r="J326"/>
  <c r="I326"/>
  <c r="H326"/>
  <c r="G326"/>
  <c r="F326"/>
  <c r="E326"/>
  <c r="J325"/>
  <c r="I325"/>
  <c r="H325"/>
  <c r="G325"/>
  <c r="F325"/>
  <c r="E325"/>
  <c r="J324"/>
  <c r="I324"/>
  <c r="H324"/>
  <c r="G324"/>
  <c r="F324"/>
  <c r="E324"/>
  <c r="J323"/>
  <c r="I323"/>
  <c r="H323"/>
  <c r="G323"/>
  <c r="F323"/>
  <c r="E323"/>
  <c r="J322"/>
  <c r="I322"/>
  <c r="H322"/>
  <c r="G322"/>
  <c r="F322"/>
  <c r="E322"/>
  <c r="J321"/>
  <c r="I321"/>
  <c r="H321"/>
  <c r="G321"/>
  <c r="F321"/>
  <c r="E321"/>
  <c r="J320"/>
  <c r="I320"/>
  <c r="H320"/>
  <c r="G320"/>
  <c r="F320"/>
  <c r="E320"/>
  <c r="J319"/>
  <c r="I319"/>
  <c r="H319"/>
  <c r="G319"/>
  <c r="F319"/>
  <c r="E319"/>
  <c r="J318"/>
  <c r="I318"/>
  <c r="H318"/>
  <c r="G318"/>
  <c r="F318"/>
  <c r="E318"/>
  <c r="H317"/>
  <c r="G317"/>
  <c r="F317"/>
  <c r="E317"/>
  <c r="J316"/>
  <c r="I316"/>
  <c r="H316"/>
  <c r="G316"/>
  <c r="F316"/>
  <c r="E316"/>
  <c r="J315"/>
  <c r="I315"/>
  <c r="H315"/>
  <c r="G315"/>
  <c r="F315"/>
  <c r="E315"/>
  <c r="J314"/>
  <c r="I314"/>
  <c r="H314"/>
  <c r="G314"/>
  <c r="F314"/>
  <c r="E314"/>
  <c r="J313"/>
  <c r="I313"/>
  <c r="H313"/>
  <c r="G313"/>
  <c r="F313"/>
  <c r="E313"/>
  <c r="J312"/>
  <c r="I312"/>
  <c r="H312"/>
  <c r="G312"/>
  <c r="F312"/>
  <c r="E312"/>
  <c r="J311"/>
  <c r="I311"/>
  <c r="H311"/>
  <c r="G311"/>
  <c r="F311"/>
  <c r="E311"/>
  <c r="J310"/>
  <c r="I310"/>
  <c r="H310"/>
  <c r="G310"/>
  <c r="F310"/>
  <c r="E310"/>
  <c r="J309"/>
  <c r="I309"/>
  <c r="H309"/>
  <c r="G309"/>
  <c r="F309"/>
  <c r="E309"/>
  <c r="J308"/>
  <c r="I308"/>
  <c r="H308"/>
  <c r="G308"/>
  <c r="F308"/>
  <c r="E308"/>
  <c r="J307"/>
  <c r="I307"/>
  <c r="H307"/>
  <c r="G307"/>
  <c r="F307"/>
  <c r="E307"/>
  <c r="J306"/>
  <c r="I306"/>
  <c r="H306"/>
  <c r="G306"/>
  <c r="F306"/>
  <c r="E306"/>
  <c r="G305"/>
  <c r="F305"/>
  <c r="E305"/>
  <c r="J304"/>
  <c r="I304"/>
  <c r="H304"/>
  <c r="G304"/>
  <c r="F304"/>
  <c r="E304"/>
  <c r="H303"/>
  <c r="G303"/>
  <c r="F303"/>
  <c r="E303"/>
  <c r="J302"/>
  <c r="I302"/>
  <c r="H302"/>
  <c r="G302"/>
  <c r="F302"/>
  <c r="E302"/>
  <c r="G301"/>
  <c r="F301"/>
  <c r="E301"/>
  <c r="J300"/>
  <c r="I300"/>
  <c r="H300"/>
  <c r="G300"/>
  <c r="F300"/>
  <c r="E300"/>
  <c r="J299"/>
  <c r="I299"/>
  <c r="H299"/>
  <c r="G299"/>
  <c r="F299"/>
  <c r="E299"/>
  <c r="J298"/>
  <c r="I298"/>
  <c r="H298"/>
  <c r="G298"/>
  <c r="F298"/>
  <c r="E298"/>
  <c r="J297"/>
  <c r="I297"/>
  <c r="H297"/>
  <c r="G297"/>
  <c r="F297"/>
  <c r="E297"/>
  <c r="J296"/>
  <c r="I296"/>
  <c r="H296"/>
  <c r="G296"/>
  <c r="F296"/>
  <c r="E296"/>
  <c r="J295"/>
  <c r="I295"/>
  <c r="H295"/>
  <c r="G295"/>
  <c r="F295"/>
  <c r="E295"/>
  <c r="J294"/>
  <c r="I294"/>
  <c r="H294"/>
  <c r="G294"/>
  <c r="F294"/>
  <c r="E294"/>
  <c r="H293"/>
  <c r="G293"/>
  <c r="F293"/>
  <c r="E293"/>
  <c r="J292"/>
  <c r="I292"/>
  <c r="H292"/>
  <c r="G292"/>
  <c r="F292"/>
  <c r="E292"/>
  <c r="H291"/>
  <c r="G291"/>
  <c r="F291"/>
  <c r="E291"/>
  <c r="H290"/>
  <c r="G290"/>
  <c r="F290"/>
  <c r="E290"/>
  <c r="J289"/>
  <c r="I289"/>
  <c r="H289"/>
  <c r="G289"/>
  <c r="F289"/>
  <c r="E289"/>
  <c r="J288"/>
  <c r="I288"/>
  <c r="H288"/>
  <c r="G288"/>
  <c r="F288"/>
  <c r="E288"/>
  <c r="J287"/>
  <c r="I287"/>
  <c r="H287"/>
  <c r="G287"/>
  <c r="F287"/>
  <c r="E287"/>
  <c r="J286"/>
  <c r="I286"/>
  <c r="H286"/>
  <c r="G286"/>
  <c r="F286"/>
  <c r="E286"/>
  <c r="J285"/>
  <c r="I285"/>
  <c r="H285"/>
  <c r="G285"/>
  <c r="F285"/>
  <c r="E285"/>
  <c r="J284"/>
  <c r="I284"/>
  <c r="H284"/>
  <c r="G284"/>
  <c r="F284"/>
  <c r="E284"/>
  <c r="J283"/>
  <c r="I283"/>
  <c r="H283"/>
  <c r="G283"/>
  <c r="F283"/>
  <c r="E283"/>
  <c r="G282"/>
  <c r="F282"/>
  <c r="E282"/>
  <c r="J281"/>
  <c r="I281"/>
  <c r="H281"/>
  <c r="G281"/>
  <c r="F281"/>
  <c r="E281"/>
  <c r="J280"/>
  <c r="I280"/>
  <c r="H280"/>
  <c r="G280"/>
  <c r="F280"/>
  <c r="E280"/>
  <c r="J279"/>
  <c r="I279"/>
  <c r="H279"/>
  <c r="G279"/>
  <c r="F279"/>
  <c r="E279"/>
  <c r="J278"/>
  <c r="I278"/>
  <c r="H278"/>
  <c r="G278"/>
  <c r="F278"/>
  <c r="E278"/>
  <c r="J277"/>
  <c r="I277"/>
  <c r="H277"/>
  <c r="G277"/>
  <c r="F277"/>
  <c r="E277"/>
  <c r="H276"/>
  <c r="G276"/>
  <c r="F276"/>
  <c r="E276"/>
  <c r="J275"/>
  <c r="I275"/>
  <c r="H275"/>
  <c r="G275"/>
  <c r="F275"/>
  <c r="E275"/>
  <c r="H274"/>
  <c r="G274"/>
  <c r="F274"/>
  <c r="E274"/>
  <c r="J273"/>
  <c r="I273"/>
  <c r="H273"/>
  <c r="G273"/>
  <c r="F273"/>
  <c r="E273"/>
  <c r="J272"/>
  <c r="I272"/>
  <c r="H272"/>
  <c r="G272"/>
  <c r="F272"/>
  <c r="E272"/>
  <c r="H271"/>
  <c r="G271"/>
  <c r="F271"/>
  <c r="E271"/>
  <c r="J270"/>
  <c r="I270"/>
  <c r="H270"/>
  <c r="G270"/>
  <c r="F270"/>
  <c r="E270"/>
  <c r="J269"/>
  <c r="I269"/>
  <c r="H269"/>
  <c r="G269"/>
  <c r="F269"/>
  <c r="E269"/>
  <c r="J268"/>
  <c r="I268"/>
  <c r="H268"/>
  <c r="G268"/>
  <c r="F268"/>
  <c r="E268"/>
  <c r="H267"/>
  <c r="G267"/>
  <c r="F267"/>
  <c r="E267"/>
  <c r="J266"/>
  <c r="I266"/>
  <c r="H266"/>
  <c r="G266"/>
  <c r="F266"/>
  <c r="E266"/>
  <c r="H265"/>
  <c r="G265"/>
  <c r="F265"/>
  <c r="E265"/>
  <c r="G264"/>
  <c r="F264"/>
  <c r="E264"/>
  <c r="J263"/>
  <c r="I263"/>
  <c r="H263"/>
  <c r="G263"/>
  <c r="F263"/>
  <c r="E263"/>
  <c r="J262"/>
  <c r="I262"/>
  <c r="H262"/>
  <c r="G262"/>
  <c r="F262"/>
  <c r="E262"/>
  <c r="J261"/>
  <c r="I261"/>
  <c r="H261"/>
  <c r="G261"/>
  <c r="F261"/>
  <c r="E261"/>
  <c r="H260"/>
  <c r="G260"/>
  <c r="F260"/>
  <c r="E260"/>
  <c r="J259"/>
  <c r="I259"/>
  <c r="H259"/>
  <c r="G259"/>
  <c r="F259"/>
  <c r="E259"/>
  <c r="J258"/>
  <c r="I258"/>
  <c r="H258"/>
  <c r="G258"/>
  <c r="F258"/>
  <c r="E258"/>
  <c r="H257"/>
  <c r="G257"/>
  <c r="F257"/>
  <c r="E257"/>
  <c r="J256"/>
  <c r="I256"/>
  <c r="H256"/>
  <c r="G256"/>
  <c r="F256"/>
  <c r="E256"/>
  <c r="J255"/>
  <c r="I255"/>
  <c r="H255"/>
  <c r="G255"/>
  <c r="F255"/>
  <c r="E255"/>
  <c r="J254"/>
  <c r="I254"/>
  <c r="H254"/>
  <c r="G254"/>
  <c r="F254"/>
  <c r="E254"/>
  <c r="J253"/>
  <c r="I253"/>
  <c r="H253"/>
  <c r="G253"/>
  <c r="F253"/>
  <c r="E253"/>
  <c r="J252"/>
  <c r="I252"/>
  <c r="H252"/>
  <c r="G252"/>
  <c r="F252"/>
  <c r="E252"/>
  <c r="J251"/>
  <c r="I251"/>
  <c r="H251"/>
  <c r="G251"/>
  <c r="F251"/>
  <c r="E251"/>
  <c r="J250"/>
  <c r="I250"/>
  <c r="H250"/>
  <c r="G250"/>
  <c r="F250"/>
  <c r="E250"/>
  <c r="J249"/>
  <c r="I249"/>
  <c r="H249"/>
  <c r="G249"/>
  <c r="F249"/>
  <c r="E249"/>
  <c r="J248"/>
  <c r="I248"/>
  <c r="H248"/>
  <c r="G248"/>
  <c r="F248"/>
  <c r="E248"/>
  <c r="J247"/>
  <c r="I247"/>
  <c r="H247"/>
  <c r="G247"/>
  <c r="F247"/>
  <c r="E247"/>
  <c r="H246"/>
  <c r="G246"/>
  <c r="F246"/>
  <c r="E246"/>
  <c r="J245"/>
  <c r="I245"/>
  <c r="H245"/>
  <c r="G245"/>
  <c r="F245"/>
  <c r="E245"/>
  <c r="J244"/>
  <c r="I244"/>
  <c r="H244"/>
  <c r="G244"/>
  <c r="F244"/>
  <c r="E244"/>
  <c r="J243"/>
  <c r="I243"/>
  <c r="H243"/>
  <c r="G243"/>
  <c r="F243"/>
  <c r="E243"/>
  <c r="J242"/>
  <c r="I242"/>
  <c r="H242"/>
  <c r="G242"/>
  <c r="F242"/>
  <c r="E242"/>
  <c r="J241"/>
  <c r="I241"/>
  <c r="H241"/>
  <c r="G241"/>
  <c r="F241"/>
  <c r="E241"/>
  <c r="J240"/>
  <c r="I240"/>
  <c r="H240"/>
  <c r="G240"/>
  <c r="F240"/>
  <c r="E240"/>
  <c r="H239"/>
  <c r="G239"/>
  <c r="F239"/>
  <c r="E239"/>
  <c r="G238"/>
  <c r="F238"/>
  <c r="E238"/>
  <c r="J237"/>
  <c r="I237"/>
  <c r="H237"/>
  <c r="G237"/>
  <c r="F237"/>
  <c r="E237"/>
  <c r="J236"/>
  <c r="I236"/>
  <c r="H236"/>
  <c r="G236"/>
  <c r="F236"/>
  <c r="E236"/>
  <c r="J235"/>
  <c r="I235"/>
  <c r="H235"/>
  <c r="G235"/>
  <c r="F235"/>
  <c r="E235"/>
  <c r="J234"/>
  <c r="I234"/>
  <c r="H234"/>
  <c r="G234"/>
  <c r="F234"/>
  <c r="E234"/>
  <c r="G233"/>
  <c r="F233"/>
  <c r="E233"/>
  <c r="H232"/>
  <c r="G232"/>
  <c r="F232"/>
  <c r="E232"/>
  <c r="J231"/>
  <c r="I231"/>
  <c r="H231"/>
  <c r="G231"/>
  <c r="F231"/>
  <c r="E231"/>
  <c r="J230"/>
  <c r="I230"/>
  <c r="H230"/>
  <c r="G230"/>
  <c r="F230"/>
  <c r="E230"/>
  <c r="J229"/>
  <c r="I229"/>
  <c r="H229"/>
  <c r="G229"/>
  <c r="F229"/>
  <c r="E229"/>
  <c r="H228"/>
  <c r="G228"/>
  <c r="F228"/>
  <c r="E228"/>
  <c r="J227"/>
  <c r="I227"/>
  <c r="H227"/>
  <c r="G227"/>
  <c r="F227"/>
  <c r="E227"/>
  <c r="J226"/>
  <c r="I226"/>
  <c r="H226"/>
  <c r="G226"/>
  <c r="F226"/>
  <c r="E226"/>
  <c r="H225"/>
  <c r="G225"/>
  <c r="F225"/>
  <c r="E225"/>
  <c r="H224"/>
  <c r="G224"/>
  <c r="F224"/>
  <c r="E224"/>
  <c r="H223"/>
  <c r="G223"/>
  <c r="F223"/>
  <c r="E223"/>
  <c r="H222"/>
  <c r="G222"/>
  <c r="F222"/>
  <c r="E222"/>
  <c r="H221"/>
  <c r="G221"/>
  <c r="F221"/>
  <c r="E221"/>
  <c r="J220"/>
  <c r="I220"/>
  <c r="H220"/>
  <c r="G220"/>
  <c r="F220"/>
  <c r="E220"/>
  <c r="J219"/>
  <c r="I219"/>
  <c r="H219"/>
  <c r="G219"/>
  <c r="F219"/>
  <c r="E219"/>
  <c r="J218"/>
  <c r="I218"/>
  <c r="H218"/>
  <c r="G218"/>
  <c r="F218"/>
  <c r="E218"/>
  <c r="J217"/>
  <c r="I217"/>
  <c r="H217"/>
  <c r="G217"/>
  <c r="F217"/>
  <c r="E217"/>
  <c r="J216"/>
  <c r="I216"/>
  <c r="H216"/>
  <c r="G216"/>
  <c r="F216"/>
  <c r="E216"/>
  <c r="H215"/>
  <c r="G215"/>
  <c r="F215"/>
  <c r="E215"/>
  <c r="J214"/>
  <c r="I214"/>
  <c r="H214"/>
  <c r="G214"/>
  <c r="F214"/>
  <c r="E214"/>
  <c r="H213"/>
  <c r="G213"/>
  <c r="F213"/>
  <c r="E213"/>
  <c r="H212"/>
  <c r="G212"/>
  <c r="F212"/>
  <c r="E212"/>
  <c r="J211"/>
  <c r="I211"/>
  <c r="H211"/>
  <c r="G211"/>
  <c r="F211"/>
  <c r="E211"/>
  <c r="H210"/>
  <c r="G210"/>
  <c r="F210"/>
  <c r="E210"/>
  <c r="H209"/>
  <c r="G209"/>
  <c r="F209"/>
  <c r="E209"/>
  <c r="J208"/>
  <c r="I208"/>
  <c r="H208"/>
  <c r="G208"/>
  <c r="F208"/>
  <c r="E208"/>
  <c r="H207"/>
  <c r="G207"/>
  <c r="F207"/>
  <c r="E207"/>
  <c r="J206"/>
  <c r="I206"/>
  <c r="H206"/>
  <c r="G206"/>
  <c r="F206"/>
  <c r="E206"/>
  <c r="H205"/>
  <c r="G205"/>
  <c r="F205"/>
  <c r="E205"/>
  <c r="H204"/>
  <c r="G204"/>
  <c r="F204"/>
  <c r="E204"/>
  <c r="H203"/>
  <c r="G203"/>
  <c r="F203"/>
  <c r="E203"/>
  <c r="J202"/>
  <c r="I202"/>
  <c r="H202"/>
  <c r="G202"/>
  <c r="F202"/>
  <c r="E202"/>
  <c r="H201"/>
  <c r="G201"/>
  <c r="F201"/>
  <c r="E201"/>
  <c r="J200"/>
  <c r="I200"/>
  <c r="H200"/>
  <c r="G200"/>
  <c r="F200"/>
  <c r="E200"/>
  <c r="H199"/>
  <c r="G199"/>
  <c r="F199"/>
  <c r="E199"/>
  <c r="J198"/>
  <c r="I198"/>
  <c r="H198"/>
  <c r="G198"/>
  <c r="F198"/>
  <c r="E198"/>
  <c r="J197"/>
  <c r="I197"/>
  <c r="H197"/>
  <c r="G197"/>
  <c r="F197"/>
  <c r="E197"/>
  <c r="J196"/>
  <c r="I196"/>
  <c r="H196"/>
  <c r="G196"/>
  <c r="F196"/>
  <c r="E196"/>
  <c r="J195"/>
  <c r="I195"/>
  <c r="H195"/>
  <c r="G195"/>
  <c r="F195"/>
  <c r="E195"/>
  <c r="H194"/>
  <c r="G194"/>
  <c r="F194"/>
  <c r="E194"/>
  <c r="G193"/>
  <c r="F193"/>
  <c r="E193"/>
  <c r="J192"/>
  <c r="I192"/>
  <c r="H192"/>
  <c r="G192"/>
  <c r="F192"/>
  <c r="E192"/>
  <c r="J191"/>
  <c r="I191"/>
  <c r="H191"/>
  <c r="G191"/>
  <c r="F191"/>
  <c r="E191"/>
  <c r="J190"/>
  <c r="I190"/>
  <c r="H190"/>
  <c r="G190"/>
  <c r="F190"/>
  <c r="E190"/>
  <c r="J189"/>
  <c r="I189"/>
  <c r="H189"/>
  <c r="G189"/>
  <c r="F189"/>
  <c r="E189"/>
  <c r="J188"/>
  <c r="I188"/>
  <c r="H188"/>
  <c r="G188"/>
  <c r="F188"/>
  <c r="E188"/>
  <c r="H187"/>
  <c r="G187"/>
  <c r="F187"/>
  <c r="E187"/>
  <c r="J186"/>
  <c r="I186"/>
  <c r="H186"/>
  <c r="G186"/>
  <c r="F186"/>
  <c r="E186"/>
  <c r="G185"/>
  <c r="F185"/>
  <c r="E185"/>
  <c r="H184"/>
  <c r="G184"/>
  <c r="F184"/>
  <c r="E184"/>
  <c r="H183"/>
  <c r="G183"/>
  <c r="F183"/>
  <c r="E183"/>
  <c r="H182"/>
  <c r="G182"/>
  <c r="F182"/>
  <c r="E182"/>
  <c r="H181"/>
  <c r="G181"/>
  <c r="F181"/>
  <c r="E181"/>
  <c r="H180"/>
  <c r="G180"/>
  <c r="F180"/>
  <c r="E180"/>
  <c r="J179"/>
  <c r="I179"/>
  <c r="H179"/>
  <c r="G179"/>
  <c r="F179"/>
  <c r="E179"/>
  <c r="H178"/>
  <c r="G178"/>
  <c r="F178"/>
  <c r="E178"/>
  <c r="J177"/>
  <c r="I177"/>
  <c r="H177"/>
  <c r="G177"/>
  <c r="F177"/>
  <c r="E177"/>
  <c r="J176"/>
  <c r="I176"/>
  <c r="H176"/>
  <c r="G176"/>
  <c r="F176"/>
  <c r="E176"/>
  <c r="J175"/>
  <c r="I175"/>
  <c r="H175"/>
  <c r="G175"/>
  <c r="F175"/>
  <c r="E175"/>
  <c r="H174"/>
  <c r="G174"/>
  <c r="F174"/>
  <c r="E174"/>
  <c r="H173"/>
  <c r="G173"/>
  <c r="F173"/>
  <c r="E173"/>
  <c r="H172"/>
  <c r="G172"/>
  <c r="F172"/>
  <c r="E172"/>
  <c r="J171"/>
  <c r="I171"/>
  <c r="H171"/>
  <c r="G171"/>
  <c r="F171"/>
  <c r="E171"/>
  <c r="J170"/>
  <c r="I170"/>
  <c r="H170"/>
  <c r="G170"/>
  <c r="F170"/>
  <c r="E170"/>
  <c r="J169"/>
  <c r="I169"/>
  <c r="H169"/>
  <c r="G169"/>
  <c r="F169"/>
  <c r="E169"/>
  <c r="H168"/>
  <c r="G168"/>
  <c r="F168"/>
  <c r="E168"/>
  <c r="G167"/>
  <c r="F167"/>
  <c r="E167"/>
  <c r="H166"/>
  <c r="G166"/>
  <c r="F166"/>
  <c r="E166"/>
  <c r="J165"/>
  <c r="I165"/>
  <c r="H165"/>
  <c r="G165"/>
  <c r="F165"/>
  <c r="E165"/>
  <c r="H164"/>
  <c r="G164"/>
  <c r="F164"/>
  <c r="E164"/>
  <c r="J163"/>
  <c r="I163"/>
  <c r="H163"/>
  <c r="G163"/>
  <c r="F163"/>
  <c r="E163"/>
  <c r="J162"/>
  <c r="I162"/>
  <c r="H162"/>
  <c r="G162"/>
  <c r="F162"/>
  <c r="E162"/>
  <c r="J161"/>
  <c r="I161"/>
  <c r="H161"/>
  <c r="G161"/>
  <c r="F161"/>
  <c r="E161"/>
  <c r="H160"/>
  <c r="G160"/>
  <c r="F160"/>
  <c r="E160"/>
  <c r="J159"/>
  <c r="I159"/>
  <c r="H159"/>
  <c r="G159"/>
  <c r="F159"/>
  <c r="E159"/>
  <c r="H158"/>
  <c r="G158"/>
  <c r="F158"/>
  <c r="E158"/>
  <c r="H157"/>
  <c r="G157"/>
  <c r="F157"/>
  <c r="E157"/>
  <c r="J156"/>
  <c r="I156"/>
  <c r="H156"/>
  <c r="G156"/>
  <c r="F156"/>
  <c r="E156"/>
  <c r="J155"/>
  <c r="I155"/>
  <c r="H155"/>
  <c r="G155"/>
  <c r="F155"/>
  <c r="E155"/>
  <c r="J154"/>
  <c r="I154"/>
  <c r="H154"/>
  <c r="G154"/>
  <c r="F154"/>
  <c r="E154"/>
  <c r="J153"/>
  <c r="I153"/>
  <c r="H153"/>
  <c r="G153"/>
  <c r="F153"/>
  <c r="E153"/>
  <c r="J152"/>
  <c r="I152"/>
  <c r="H152"/>
  <c r="G152"/>
  <c r="F152"/>
  <c r="E152"/>
  <c r="J151"/>
  <c r="I151"/>
  <c r="H151"/>
  <c r="G151"/>
  <c r="F151"/>
  <c r="E151"/>
  <c r="J150"/>
  <c r="I150"/>
  <c r="H150"/>
  <c r="G150"/>
  <c r="F150"/>
  <c r="E150"/>
  <c r="J149"/>
  <c r="I149"/>
  <c r="H149"/>
  <c r="G149"/>
  <c r="F149"/>
  <c r="E149"/>
  <c r="H148"/>
  <c r="G148"/>
  <c r="F148"/>
  <c r="E148"/>
  <c r="J147"/>
  <c r="I147"/>
  <c r="H147"/>
  <c r="G147"/>
  <c r="F147"/>
  <c r="E147"/>
  <c r="J146"/>
  <c r="I146"/>
  <c r="H146"/>
  <c r="G146"/>
  <c r="F146"/>
  <c r="E146"/>
  <c r="J145"/>
  <c r="I145"/>
  <c r="H145"/>
  <c r="G145"/>
  <c r="F145"/>
  <c r="E145"/>
  <c r="H144"/>
  <c r="G144"/>
  <c r="F144"/>
  <c r="E144"/>
  <c r="J143"/>
  <c r="I143"/>
  <c r="H143"/>
  <c r="G143"/>
  <c r="F143"/>
  <c r="E143"/>
  <c r="J142"/>
  <c r="I142"/>
  <c r="H142"/>
  <c r="G142"/>
  <c r="F142"/>
  <c r="E142"/>
  <c r="H141"/>
  <c r="G141"/>
  <c r="F141"/>
  <c r="E141"/>
  <c r="J140"/>
  <c r="I140"/>
  <c r="H140"/>
  <c r="G140"/>
  <c r="F140"/>
  <c r="E140"/>
  <c r="J139"/>
  <c r="I139"/>
  <c r="H139"/>
  <c r="G139"/>
  <c r="F139"/>
  <c r="E139"/>
  <c r="J138"/>
  <c r="I138"/>
  <c r="H138"/>
  <c r="G138"/>
  <c r="F138"/>
  <c r="E138"/>
  <c r="J137"/>
  <c r="I137"/>
  <c r="H137"/>
  <c r="G137"/>
  <c r="F137"/>
  <c r="E137"/>
  <c r="J136"/>
  <c r="I136"/>
  <c r="H136"/>
  <c r="G136"/>
  <c r="F136"/>
  <c r="E136"/>
  <c r="J135"/>
  <c r="I135"/>
  <c r="H135"/>
  <c r="G135"/>
  <c r="F135"/>
  <c r="E135"/>
  <c r="H134"/>
  <c r="G134"/>
  <c r="F134"/>
  <c r="E134"/>
  <c r="J133"/>
  <c r="I133"/>
  <c r="H133"/>
  <c r="G133"/>
  <c r="F133"/>
  <c r="E133"/>
  <c r="H132"/>
  <c r="G132"/>
  <c r="F132"/>
  <c r="E132"/>
  <c r="H131"/>
  <c r="G131"/>
  <c r="F131"/>
  <c r="E131"/>
  <c r="J130"/>
  <c r="I130"/>
  <c r="H130"/>
  <c r="G130"/>
  <c r="F130"/>
  <c r="E130"/>
  <c r="G129"/>
  <c r="F129"/>
  <c r="E129"/>
  <c r="H128"/>
  <c r="G128"/>
  <c r="F128"/>
  <c r="E128"/>
  <c r="J127"/>
  <c r="I127"/>
  <c r="H127"/>
  <c r="G127"/>
  <c r="F127"/>
  <c r="E127"/>
  <c r="H126"/>
  <c r="G126"/>
  <c r="F126"/>
  <c r="E126"/>
  <c r="H125"/>
  <c r="G125"/>
  <c r="F125"/>
  <c r="E125"/>
  <c r="J124"/>
  <c r="I124"/>
  <c r="H124"/>
  <c r="G124"/>
  <c r="F124"/>
  <c r="E124"/>
  <c r="J123"/>
  <c r="I123"/>
  <c r="H123"/>
  <c r="G123"/>
  <c r="F123"/>
  <c r="E123"/>
  <c r="J122"/>
  <c r="I122"/>
  <c r="H122"/>
  <c r="G122"/>
  <c r="F122"/>
  <c r="E122"/>
  <c r="J121"/>
  <c r="I121"/>
  <c r="H121"/>
  <c r="G121"/>
  <c r="F121"/>
  <c r="E121"/>
  <c r="J120"/>
  <c r="I120"/>
  <c r="H120"/>
  <c r="G120"/>
  <c r="F120"/>
  <c r="E120"/>
  <c r="J119"/>
  <c r="I119"/>
  <c r="H119"/>
  <c r="G119"/>
  <c r="F119"/>
  <c r="E119"/>
  <c r="H118"/>
  <c r="G118"/>
  <c r="F118"/>
  <c r="E118"/>
  <c r="J117"/>
  <c r="I117"/>
  <c r="H117"/>
  <c r="G117"/>
  <c r="F117"/>
  <c r="E117"/>
  <c r="J116"/>
  <c r="I116"/>
  <c r="H116"/>
  <c r="G116"/>
  <c r="F116"/>
  <c r="E116"/>
  <c r="J115"/>
  <c r="I115"/>
  <c r="H115"/>
  <c r="G115"/>
  <c r="F115"/>
  <c r="E115"/>
  <c r="J114"/>
  <c r="I114"/>
  <c r="H114"/>
  <c r="G114"/>
  <c r="F114"/>
  <c r="E114"/>
  <c r="H113"/>
  <c r="G113"/>
  <c r="F113"/>
  <c r="E113"/>
  <c r="J112"/>
  <c r="I112"/>
  <c r="H112"/>
  <c r="G112"/>
  <c r="F112"/>
  <c r="E112"/>
  <c r="J111"/>
  <c r="I111"/>
  <c r="H111"/>
  <c r="G111"/>
  <c r="F111"/>
  <c r="E111"/>
  <c r="H110"/>
  <c r="G110"/>
  <c r="F110"/>
  <c r="E110"/>
  <c r="J109"/>
  <c r="I109"/>
  <c r="H109"/>
  <c r="G109"/>
  <c r="F109"/>
  <c r="E109"/>
  <c r="J108"/>
  <c r="I108"/>
  <c r="H108"/>
  <c r="G108"/>
  <c r="F108"/>
  <c r="E108"/>
  <c r="H107"/>
  <c r="G107"/>
  <c r="F107"/>
  <c r="E107"/>
  <c r="J106"/>
  <c r="I106"/>
  <c r="H106"/>
  <c r="G106"/>
  <c r="F106"/>
  <c r="E106"/>
  <c r="J105"/>
  <c r="I105"/>
  <c r="H105"/>
  <c r="G105"/>
  <c r="F105"/>
  <c r="E105"/>
  <c r="J104"/>
  <c r="I104"/>
  <c r="H104"/>
  <c r="G104"/>
  <c r="F104"/>
  <c r="E104"/>
  <c r="H103"/>
  <c r="G103"/>
  <c r="F103"/>
  <c r="E103"/>
  <c r="J102"/>
  <c r="I102"/>
  <c r="H102"/>
  <c r="G102"/>
  <c r="F102"/>
  <c r="E102"/>
  <c r="J101"/>
  <c r="I101"/>
  <c r="H101"/>
  <c r="G101"/>
  <c r="F101"/>
  <c r="E101"/>
  <c r="J100"/>
  <c r="I100"/>
  <c r="H100"/>
  <c r="G100"/>
  <c r="F100"/>
  <c r="E100"/>
  <c r="J99"/>
  <c r="I99"/>
  <c r="H99"/>
  <c r="G99"/>
  <c r="F99"/>
  <c r="E99"/>
  <c r="J98"/>
  <c r="I98"/>
  <c r="H98"/>
  <c r="G98"/>
  <c r="F98"/>
  <c r="E98"/>
  <c r="J97"/>
  <c r="I97"/>
  <c r="H97"/>
  <c r="G97"/>
  <c r="F97"/>
  <c r="E97"/>
  <c r="H96"/>
  <c r="G96"/>
  <c r="F96"/>
  <c r="E96"/>
  <c r="J95"/>
  <c r="I95"/>
  <c r="H95"/>
  <c r="G95"/>
  <c r="F95"/>
  <c r="E95"/>
  <c r="J94"/>
  <c r="I94"/>
  <c r="H94"/>
  <c r="G94"/>
  <c r="F94"/>
  <c r="E94"/>
  <c r="J93"/>
  <c r="I93"/>
  <c r="H93"/>
  <c r="G93"/>
  <c r="F93"/>
  <c r="E93"/>
  <c r="J92"/>
  <c r="I92"/>
  <c r="H92"/>
  <c r="G92"/>
  <c r="F92"/>
  <c r="E92"/>
  <c r="J91"/>
  <c r="I91"/>
  <c r="H91"/>
  <c r="G91"/>
  <c r="F91"/>
  <c r="E91"/>
  <c r="J90"/>
  <c r="I90"/>
  <c r="H90"/>
  <c r="G90"/>
  <c r="F90"/>
  <c r="E90"/>
  <c r="J89"/>
  <c r="I89"/>
  <c r="H89"/>
  <c r="G89"/>
  <c r="F89"/>
  <c r="E89"/>
  <c r="J88"/>
  <c r="I88"/>
  <c r="H88"/>
  <c r="G88"/>
  <c r="F88"/>
  <c r="E88"/>
  <c r="J87"/>
  <c r="I87"/>
  <c r="H87"/>
  <c r="G87"/>
  <c r="F87"/>
  <c r="E87"/>
  <c r="J86"/>
  <c r="I86"/>
  <c r="H86"/>
  <c r="G86"/>
  <c r="F86"/>
  <c r="E86"/>
  <c r="H85"/>
  <c r="G85"/>
  <c r="F85"/>
  <c r="E85"/>
  <c r="H84"/>
  <c r="G84"/>
  <c r="F84"/>
  <c r="E84"/>
  <c r="H83"/>
  <c r="G83"/>
  <c r="F83"/>
  <c r="E83"/>
  <c r="J82"/>
  <c r="I82"/>
  <c r="H82"/>
  <c r="G82"/>
  <c r="F82"/>
  <c r="E82"/>
  <c r="J81"/>
  <c r="I81"/>
  <c r="H81"/>
  <c r="G81"/>
  <c r="F81"/>
  <c r="E81"/>
  <c r="J80"/>
  <c r="I80"/>
  <c r="H80"/>
  <c r="G80"/>
  <c r="F80"/>
  <c r="E80"/>
  <c r="H79"/>
  <c r="G79"/>
  <c r="F79"/>
  <c r="E79"/>
  <c r="J78"/>
  <c r="I78"/>
  <c r="H78"/>
  <c r="G78"/>
  <c r="F78"/>
  <c r="E78"/>
  <c r="J77"/>
  <c r="I77"/>
  <c r="H77"/>
  <c r="G77"/>
  <c r="F77"/>
  <c r="E77"/>
  <c r="H76"/>
  <c r="G76"/>
  <c r="F76"/>
  <c r="E76"/>
  <c r="J75"/>
  <c r="I75"/>
  <c r="H75"/>
  <c r="G75"/>
  <c r="F75"/>
  <c r="E75"/>
  <c r="J74"/>
  <c r="I74"/>
  <c r="H74"/>
  <c r="G74"/>
  <c r="F74"/>
  <c r="E74"/>
  <c r="J73"/>
  <c r="I73"/>
  <c r="H73"/>
  <c r="G73"/>
  <c r="F73"/>
  <c r="E73"/>
  <c r="J72"/>
  <c r="I72"/>
  <c r="H72"/>
  <c r="G72"/>
  <c r="F72"/>
  <c r="E72"/>
  <c r="J71"/>
  <c r="I71"/>
  <c r="H71"/>
  <c r="G71"/>
  <c r="F71"/>
  <c r="E71"/>
  <c r="J70"/>
  <c r="I70"/>
  <c r="H70"/>
  <c r="G70"/>
  <c r="F70"/>
  <c r="E70"/>
  <c r="H69"/>
  <c r="G69"/>
  <c r="F69"/>
  <c r="E69"/>
  <c r="J68"/>
  <c r="I68"/>
  <c r="H68"/>
  <c r="G68"/>
  <c r="F68"/>
  <c r="E68"/>
  <c r="H67"/>
  <c r="G67"/>
  <c r="F67"/>
  <c r="E67"/>
  <c r="J66"/>
  <c r="I66"/>
  <c r="H66"/>
  <c r="G66"/>
  <c r="F66"/>
  <c r="E66"/>
  <c r="J65"/>
  <c r="I65"/>
  <c r="H65"/>
  <c r="G65"/>
  <c r="F65"/>
  <c r="E65"/>
  <c r="H64"/>
  <c r="G64"/>
  <c r="F64"/>
  <c r="E64"/>
  <c r="J63"/>
  <c r="I63"/>
  <c r="H63"/>
  <c r="G63"/>
  <c r="F63"/>
  <c r="E63"/>
  <c r="J62"/>
  <c r="I62"/>
  <c r="H62"/>
  <c r="G62"/>
  <c r="F62"/>
  <c r="E62"/>
  <c r="J61"/>
  <c r="I61"/>
  <c r="H61"/>
  <c r="G61"/>
  <c r="F61"/>
  <c r="E61"/>
  <c r="H60"/>
  <c r="G60"/>
  <c r="F60"/>
  <c r="E60"/>
  <c r="J59"/>
  <c r="I59"/>
  <c r="H59"/>
  <c r="G59"/>
  <c r="F59"/>
  <c r="E59"/>
  <c r="J58"/>
  <c r="I58"/>
  <c r="H58"/>
  <c r="G58"/>
  <c r="F58"/>
  <c r="E58"/>
  <c r="J57"/>
  <c r="I57"/>
  <c r="H57"/>
  <c r="G57"/>
  <c r="F57"/>
  <c r="E57"/>
  <c r="J56"/>
  <c r="I56"/>
  <c r="H56"/>
  <c r="G56"/>
  <c r="F56"/>
  <c r="E56"/>
  <c r="J55"/>
  <c r="I55"/>
  <c r="H55"/>
  <c r="G55"/>
  <c r="F55"/>
  <c r="E55"/>
  <c r="J54"/>
  <c r="I54"/>
  <c r="H54"/>
  <c r="G54"/>
  <c r="F54"/>
  <c r="E54"/>
  <c r="H53"/>
  <c r="G53"/>
  <c r="F53"/>
  <c r="E53"/>
  <c r="J52"/>
  <c r="I52"/>
  <c r="H52"/>
  <c r="G52"/>
  <c r="F52"/>
  <c r="E52"/>
  <c r="J51"/>
  <c r="I51"/>
  <c r="H51"/>
  <c r="G51"/>
  <c r="F51"/>
  <c r="E51"/>
  <c r="J50"/>
  <c r="I50"/>
  <c r="H50"/>
  <c r="G50"/>
  <c r="F50"/>
  <c r="E50"/>
  <c r="J49"/>
  <c r="I49"/>
  <c r="H49"/>
  <c r="G49"/>
  <c r="F49"/>
  <c r="E49"/>
  <c r="J48"/>
  <c r="I48"/>
  <c r="H48"/>
  <c r="G48"/>
  <c r="F48"/>
  <c r="E48"/>
  <c r="J47"/>
  <c r="I47"/>
  <c r="H47"/>
  <c r="G47"/>
  <c r="F47"/>
  <c r="E47"/>
  <c r="J46"/>
  <c r="I46"/>
  <c r="H46"/>
  <c r="G46"/>
  <c r="F46"/>
  <c r="E4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H40"/>
  <c r="G40"/>
  <c r="F40"/>
  <c r="E40"/>
  <c r="J39"/>
  <c r="I39"/>
  <c r="H39"/>
  <c r="G39"/>
  <c r="F39"/>
  <c r="E39"/>
  <c r="J38"/>
  <c r="I38"/>
  <c r="H38"/>
  <c r="G38"/>
  <c r="F38"/>
  <c r="E38"/>
  <c r="J37"/>
  <c r="I37"/>
  <c r="H37"/>
  <c r="G37"/>
  <c r="F37"/>
  <c r="E37"/>
  <c r="J36"/>
  <c r="I36"/>
  <c r="H36"/>
  <c r="G36"/>
  <c r="F36"/>
  <c r="E36"/>
  <c r="J35"/>
  <c r="I35"/>
  <c r="H35"/>
  <c r="G35"/>
  <c r="F35"/>
  <c r="E35"/>
  <c r="H34"/>
  <c r="G34"/>
  <c r="F34"/>
  <c r="E34"/>
  <c r="J33"/>
  <c r="I33"/>
  <c r="H33"/>
  <c r="G33"/>
  <c r="F33"/>
  <c r="E33"/>
  <c r="J32"/>
  <c r="I32"/>
  <c r="H32"/>
  <c r="G32"/>
  <c r="F32"/>
  <c r="E32"/>
  <c r="J31"/>
  <c r="I31"/>
  <c r="H31"/>
  <c r="G31"/>
  <c r="F31"/>
  <c r="E31"/>
  <c r="J30"/>
  <c r="I30"/>
  <c r="H30"/>
  <c r="G30"/>
  <c r="F30"/>
  <c r="E30"/>
  <c r="H29"/>
  <c r="G29"/>
  <c r="F29"/>
  <c r="E29"/>
  <c r="J28"/>
  <c r="I28"/>
  <c r="H28"/>
  <c r="G28"/>
  <c r="F28"/>
  <c r="E28"/>
  <c r="J27"/>
  <c r="I27"/>
  <c r="H27"/>
  <c r="G27"/>
  <c r="F27"/>
  <c r="E27"/>
  <c r="H26"/>
  <c r="G26"/>
  <c r="F26"/>
  <c r="E26"/>
  <c r="J25"/>
  <c r="I25"/>
  <c r="H25"/>
  <c r="G25"/>
  <c r="F25"/>
  <c r="E25"/>
  <c r="J24"/>
  <c r="I24"/>
  <c r="H24"/>
  <c r="G24"/>
  <c r="F24"/>
  <c r="E24"/>
  <c r="J23"/>
  <c r="I23"/>
  <c r="H23"/>
  <c r="G23"/>
  <c r="F23"/>
  <c r="E23"/>
  <c r="J22"/>
  <c r="I22"/>
  <c r="H22"/>
  <c r="G22"/>
  <c r="F22"/>
  <c r="E22"/>
  <c r="J21"/>
  <c r="I21"/>
  <c r="H21"/>
  <c r="G21"/>
  <c r="F21"/>
  <c r="E21"/>
  <c r="J20"/>
  <c r="I20"/>
  <c r="H20"/>
  <c r="G20"/>
  <c r="F20"/>
  <c r="E20"/>
  <c r="J19"/>
  <c r="I19"/>
  <c r="H19"/>
  <c r="G19"/>
  <c r="F19"/>
  <c r="E19"/>
  <c r="J18"/>
  <c r="I18"/>
  <c r="H18"/>
  <c r="G18"/>
  <c r="F18"/>
  <c r="E18"/>
  <c r="J17"/>
  <c r="I17"/>
  <c r="H17"/>
  <c r="G17"/>
  <c r="F17"/>
  <c r="E17"/>
  <c r="J16"/>
  <c r="I16"/>
  <c r="H16"/>
  <c r="G16"/>
  <c r="F16"/>
  <c r="E16"/>
  <c r="J15"/>
  <c r="I15"/>
  <c r="H15"/>
  <c r="G15"/>
  <c r="F15"/>
  <c r="E15"/>
  <c r="H14"/>
  <c r="G14"/>
  <c r="F14"/>
  <c r="E14"/>
  <c r="H13"/>
  <c r="G13"/>
  <c r="F13"/>
  <c r="E13"/>
  <c r="J12"/>
  <c r="I12"/>
  <c r="H12"/>
  <c r="G12"/>
  <c r="F12"/>
  <c r="E12"/>
  <c r="J11"/>
  <c r="I11"/>
  <c r="H11"/>
  <c r="G11"/>
  <c r="F11"/>
  <c r="E11"/>
  <c r="H10"/>
  <c r="G10"/>
  <c r="F10"/>
  <c r="E10"/>
  <c r="H9"/>
  <c r="G9"/>
  <c r="F9"/>
  <c r="E9"/>
  <c r="J8"/>
  <c r="I8"/>
  <c r="H8"/>
  <c r="G8"/>
  <c r="F8"/>
  <c r="E8"/>
  <c r="J7"/>
  <c r="I7"/>
  <c r="H7"/>
  <c r="G7"/>
  <c r="F7"/>
  <c r="E7"/>
  <c r="J6"/>
  <c r="I6"/>
  <c r="H6"/>
  <c r="G6"/>
  <c r="F6"/>
  <c r="E6"/>
  <c r="K5"/>
  <c r="J5"/>
  <c r="I5"/>
  <c r="H5"/>
  <c r="G5"/>
  <c r="F5"/>
  <c r="H336" i="2"/>
  <c r="G336"/>
  <c r="F336"/>
  <c r="E336"/>
  <c r="J335"/>
  <c r="I335"/>
  <c r="H335"/>
  <c r="G335"/>
  <c r="F335"/>
  <c r="E335"/>
  <c r="J334"/>
  <c r="I334"/>
  <c r="H334"/>
  <c r="G334"/>
  <c r="F334"/>
  <c r="E334"/>
  <c r="H333"/>
  <c r="G333"/>
  <c r="F333"/>
  <c r="E333"/>
  <c r="J332"/>
  <c r="I332"/>
  <c r="H332"/>
  <c r="G332"/>
  <c r="F332"/>
  <c r="E332"/>
  <c r="J331"/>
  <c r="I331"/>
  <c r="H331"/>
  <c r="G331"/>
  <c r="F331"/>
  <c r="E331"/>
  <c r="J330"/>
  <c r="I330"/>
  <c r="H330"/>
  <c r="G330"/>
  <c r="F330"/>
  <c r="E330"/>
  <c r="J329"/>
  <c r="I329"/>
  <c r="H329"/>
  <c r="G329"/>
  <c r="F329"/>
  <c r="E329"/>
  <c r="J328"/>
  <c r="I328"/>
  <c r="H328"/>
  <c r="G328"/>
  <c r="F328"/>
  <c r="E328"/>
  <c r="H327"/>
  <c r="G327"/>
  <c r="F327"/>
  <c r="E327"/>
  <c r="H326"/>
  <c r="G326"/>
  <c r="F326"/>
  <c r="E326"/>
  <c r="J325"/>
  <c r="I325"/>
  <c r="H325"/>
  <c r="G325"/>
  <c r="F325"/>
  <c r="E325"/>
  <c r="J324"/>
  <c r="I324"/>
  <c r="H324"/>
  <c r="G324"/>
  <c r="F324"/>
  <c r="E324"/>
  <c r="H323"/>
  <c r="G323"/>
  <c r="F323"/>
  <c r="E323"/>
  <c r="J322"/>
  <c r="I322"/>
  <c r="H322"/>
  <c r="G322"/>
  <c r="F322"/>
  <c r="E322"/>
  <c r="J321"/>
  <c r="I321"/>
  <c r="H321"/>
  <c r="G321"/>
  <c r="F321"/>
  <c r="E321"/>
  <c r="J320"/>
  <c r="I320"/>
  <c r="H320"/>
  <c r="G320"/>
  <c r="F320"/>
  <c r="E320"/>
  <c r="G319"/>
  <c r="F319"/>
  <c r="E319"/>
  <c r="J318"/>
  <c r="I318"/>
  <c r="H318"/>
  <c r="G318"/>
  <c r="F318"/>
  <c r="E318"/>
  <c r="J317"/>
  <c r="I317"/>
  <c r="H317"/>
  <c r="G317"/>
  <c r="F317"/>
  <c r="E317"/>
  <c r="J316"/>
  <c r="I316"/>
  <c r="H316"/>
  <c r="G316"/>
  <c r="F316"/>
  <c r="E316"/>
  <c r="J315"/>
  <c r="I315"/>
  <c r="H315"/>
  <c r="G315"/>
  <c r="F315"/>
  <c r="E315"/>
  <c r="J314"/>
  <c r="I314"/>
  <c r="H314"/>
  <c r="G314"/>
  <c r="F314"/>
  <c r="E314"/>
  <c r="G313"/>
  <c r="F313"/>
  <c r="E313"/>
  <c r="J312"/>
  <c r="I312"/>
  <c r="H312"/>
  <c r="G312"/>
  <c r="F312"/>
  <c r="E312"/>
  <c r="G311"/>
  <c r="F311"/>
  <c r="E311"/>
  <c r="G310"/>
  <c r="F310"/>
  <c r="E310"/>
  <c r="J309"/>
  <c r="I309"/>
  <c r="H309"/>
  <c r="G309"/>
  <c r="F309"/>
  <c r="E309"/>
  <c r="H308"/>
  <c r="G308"/>
  <c r="F308"/>
  <c r="E308"/>
  <c r="H307"/>
  <c r="G307"/>
  <c r="F307"/>
  <c r="E307"/>
  <c r="G306"/>
  <c r="F306"/>
  <c r="E306"/>
  <c r="G305"/>
  <c r="F305"/>
  <c r="E305"/>
  <c r="J304"/>
  <c r="I304"/>
  <c r="H304"/>
  <c r="G304"/>
  <c r="F304"/>
  <c r="E304"/>
  <c r="G303"/>
  <c r="F303"/>
  <c r="E303"/>
  <c r="H302"/>
  <c r="G302"/>
  <c r="F302"/>
  <c r="E302"/>
  <c r="H301"/>
  <c r="G301"/>
  <c r="F301"/>
  <c r="E301"/>
  <c r="J300"/>
  <c r="I300"/>
  <c r="H300"/>
  <c r="G300"/>
  <c r="F300"/>
  <c r="E300"/>
  <c r="G299"/>
  <c r="F299"/>
  <c r="E299"/>
  <c r="J298"/>
  <c r="I298"/>
  <c r="H298"/>
  <c r="G298"/>
  <c r="F298"/>
  <c r="E298"/>
  <c r="J297"/>
  <c r="I297"/>
  <c r="H297"/>
  <c r="G297"/>
  <c r="F297"/>
  <c r="E297"/>
  <c r="G296"/>
  <c r="F296"/>
  <c r="E296"/>
  <c r="J295"/>
  <c r="I295"/>
  <c r="H295"/>
  <c r="G295"/>
  <c r="F295"/>
  <c r="E295"/>
  <c r="H294"/>
  <c r="G294"/>
  <c r="F294"/>
  <c r="E294"/>
  <c r="J293"/>
  <c r="I293"/>
  <c r="H293"/>
  <c r="G293"/>
  <c r="F293"/>
  <c r="E293"/>
  <c r="J292"/>
  <c r="I292"/>
  <c r="H292"/>
  <c r="G292"/>
  <c r="F292"/>
  <c r="E292"/>
  <c r="J291"/>
  <c r="I291"/>
  <c r="H291"/>
  <c r="G291"/>
  <c r="F291"/>
  <c r="E291"/>
  <c r="J290"/>
  <c r="I290"/>
  <c r="H290"/>
  <c r="G290"/>
  <c r="F290"/>
  <c r="E290"/>
  <c r="J289"/>
  <c r="I289"/>
  <c r="H289"/>
  <c r="G289"/>
  <c r="F289"/>
  <c r="E289"/>
  <c r="J288"/>
  <c r="I288"/>
  <c r="H288"/>
  <c r="G288"/>
  <c r="F288"/>
  <c r="E288"/>
  <c r="J287"/>
  <c r="I287"/>
  <c r="H287"/>
  <c r="G287"/>
  <c r="F287"/>
  <c r="E287"/>
  <c r="G286"/>
  <c r="F286"/>
  <c r="E286"/>
  <c r="G285"/>
  <c r="F285"/>
  <c r="E285"/>
  <c r="H284"/>
  <c r="G284"/>
  <c r="F284"/>
  <c r="E284"/>
  <c r="J283"/>
  <c r="I283"/>
  <c r="H283"/>
  <c r="G283"/>
  <c r="F283"/>
  <c r="E283"/>
  <c r="J282"/>
  <c r="I282"/>
  <c r="H282"/>
  <c r="G282"/>
  <c r="F282"/>
  <c r="E282"/>
  <c r="J281"/>
  <c r="I281"/>
  <c r="H281"/>
  <c r="G281"/>
  <c r="F281"/>
  <c r="E281"/>
  <c r="J280"/>
  <c r="I280"/>
  <c r="H280"/>
  <c r="G280"/>
  <c r="F280"/>
  <c r="E280"/>
  <c r="J279"/>
  <c r="I279"/>
  <c r="H279"/>
  <c r="G279"/>
  <c r="F279"/>
  <c r="E279"/>
  <c r="J278"/>
  <c r="I278"/>
  <c r="H278"/>
  <c r="G278"/>
  <c r="F278"/>
  <c r="E278"/>
  <c r="G277"/>
  <c r="F277"/>
  <c r="E277"/>
  <c r="J276"/>
  <c r="I276"/>
  <c r="H276"/>
  <c r="G276"/>
  <c r="F276"/>
  <c r="E276"/>
  <c r="H275"/>
  <c r="G275"/>
  <c r="F275"/>
  <c r="E275"/>
  <c r="J274"/>
  <c r="I274"/>
  <c r="H274"/>
  <c r="G274"/>
  <c r="F274"/>
  <c r="E274"/>
  <c r="J273"/>
  <c r="I273"/>
  <c r="H273"/>
  <c r="G273"/>
  <c r="F273"/>
  <c r="E273"/>
  <c r="H272"/>
  <c r="G272"/>
  <c r="F272"/>
  <c r="E272"/>
  <c r="H271"/>
  <c r="G271"/>
  <c r="F271"/>
  <c r="E271"/>
  <c r="J270"/>
  <c r="I270"/>
  <c r="H270"/>
  <c r="G270"/>
  <c r="F270"/>
  <c r="E270"/>
  <c r="G269"/>
  <c r="F269"/>
  <c r="E269"/>
  <c r="J268"/>
  <c r="I268"/>
  <c r="H268"/>
  <c r="G268"/>
  <c r="F268"/>
  <c r="E268"/>
  <c r="J267"/>
  <c r="I267"/>
  <c r="H267"/>
  <c r="G267"/>
  <c r="F267"/>
  <c r="E267"/>
  <c r="H266"/>
  <c r="G266"/>
  <c r="F266"/>
  <c r="E266"/>
  <c r="J265"/>
  <c r="I265"/>
  <c r="H265"/>
  <c r="G265"/>
  <c r="F265"/>
  <c r="E265"/>
  <c r="G264"/>
  <c r="F264"/>
  <c r="E264"/>
  <c r="J263"/>
  <c r="I263"/>
  <c r="H263"/>
  <c r="G263"/>
  <c r="F263"/>
  <c r="E263"/>
  <c r="H262"/>
  <c r="G262"/>
  <c r="F262"/>
  <c r="E262"/>
  <c r="J261"/>
  <c r="I261"/>
  <c r="H261"/>
  <c r="G261"/>
  <c r="F261"/>
  <c r="E261"/>
  <c r="H260"/>
  <c r="G260"/>
  <c r="F260"/>
  <c r="E260"/>
  <c r="H259"/>
  <c r="G259"/>
  <c r="F259"/>
  <c r="E259"/>
  <c r="J258"/>
  <c r="I258"/>
  <c r="H258"/>
  <c r="G258"/>
  <c r="F258"/>
  <c r="E258"/>
  <c r="H257"/>
  <c r="G257"/>
  <c r="F257"/>
  <c r="E257"/>
  <c r="J256"/>
  <c r="I256"/>
  <c r="H256"/>
  <c r="G256"/>
  <c r="F256"/>
  <c r="E256"/>
  <c r="H255"/>
  <c r="G255"/>
  <c r="F255"/>
  <c r="E255"/>
  <c r="J254"/>
  <c r="I254"/>
  <c r="H254"/>
  <c r="G254"/>
  <c r="F254"/>
  <c r="E254"/>
  <c r="G253"/>
  <c r="F253"/>
  <c r="E253"/>
  <c r="J252"/>
  <c r="I252"/>
  <c r="H252"/>
  <c r="G252"/>
  <c r="F252"/>
  <c r="E252"/>
  <c r="H251"/>
  <c r="G251"/>
  <c r="F251"/>
  <c r="E251"/>
  <c r="J250"/>
  <c r="I250"/>
  <c r="H250"/>
  <c r="G250"/>
  <c r="F250"/>
  <c r="E250"/>
  <c r="H249"/>
  <c r="G249"/>
  <c r="F249"/>
  <c r="E249"/>
  <c r="J248"/>
  <c r="I248"/>
  <c r="H248"/>
  <c r="G248"/>
  <c r="F248"/>
  <c r="E248"/>
  <c r="H247"/>
  <c r="G247"/>
  <c r="F247"/>
  <c r="E247"/>
  <c r="J246"/>
  <c r="I246"/>
  <c r="H246"/>
  <c r="G246"/>
  <c r="F246"/>
  <c r="E246"/>
  <c r="H245"/>
  <c r="G245"/>
  <c r="F245"/>
  <c r="E245"/>
  <c r="J244"/>
  <c r="I244"/>
  <c r="H244"/>
  <c r="G244"/>
  <c r="F244"/>
  <c r="E244"/>
  <c r="J243"/>
  <c r="I243"/>
  <c r="H243"/>
  <c r="G243"/>
  <c r="F243"/>
  <c r="E243"/>
  <c r="J242"/>
  <c r="I242"/>
  <c r="H242"/>
  <c r="G242"/>
  <c r="F242"/>
  <c r="E242"/>
  <c r="J241"/>
  <c r="I241"/>
  <c r="H241"/>
  <c r="G241"/>
  <c r="F241"/>
  <c r="E241"/>
  <c r="J240"/>
  <c r="I240"/>
  <c r="H240"/>
  <c r="G240"/>
  <c r="F240"/>
  <c r="E240"/>
  <c r="J239"/>
  <c r="I239"/>
  <c r="H239"/>
  <c r="G239"/>
  <c r="F239"/>
  <c r="E239"/>
  <c r="J238"/>
  <c r="I238"/>
  <c r="H238"/>
  <c r="G238"/>
  <c r="F238"/>
  <c r="E238"/>
  <c r="J237"/>
  <c r="I237"/>
  <c r="H237"/>
  <c r="G237"/>
  <c r="F237"/>
  <c r="E237"/>
  <c r="H236"/>
  <c r="G236"/>
  <c r="F236"/>
  <c r="E236"/>
  <c r="J235"/>
  <c r="I235"/>
  <c r="H235"/>
  <c r="G235"/>
  <c r="F235"/>
  <c r="E235"/>
  <c r="J234"/>
  <c r="I234"/>
  <c r="H234"/>
  <c r="G234"/>
  <c r="F234"/>
  <c r="E234"/>
  <c r="H233"/>
  <c r="G233"/>
  <c r="F233"/>
  <c r="E233"/>
  <c r="G232"/>
  <c r="F232"/>
  <c r="E232"/>
  <c r="J231"/>
  <c r="I231"/>
  <c r="H231"/>
  <c r="G231"/>
  <c r="F231"/>
  <c r="E231"/>
  <c r="H230"/>
  <c r="G230"/>
  <c r="F230"/>
  <c r="E230"/>
  <c r="G229"/>
  <c r="F229"/>
  <c r="E229"/>
  <c r="J228"/>
  <c r="I228"/>
  <c r="H228"/>
  <c r="G228"/>
  <c r="F228"/>
  <c r="E228"/>
  <c r="J227"/>
  <c r="I227"/>
  <c r="H227"/>
  <c r="G227"/>
  <c r="F227"/>
  <c r="E227"/>
  <c r="J226"/>
  <c r="I226"/>
  <c r="H226"/>
  <c r="G226"/>
  <c r="F226"/>
  <c r="E226"/>
  <c r="J225"/>
  <c r="I225"/>
  <c r="H225"/>
  <c r="G225"/>
  <c r="F225"/>
  <c r="E225"/>
  <c r="J224"/>
  <c r="I224"/>
  <c r="H224"/>
  <c r="G224"/>
  <c r="F224"/>
  <c r="E224"/>
  <c r="J223"/>
  <c r="I223"/>
  <c r="H223"/>
  <c r="G223"/>
  <c r="F223"/>
  <c r="E223"/>
  <c r="J222"/>
  <c r="I222"/>
  <c r="H222"/>
  <c r="G222"/>
  <c r="F222"/>
  <c r="E222"/>
  <c r="J221"/>
  <c r="I221"/>
  <c r="H221"/>
  <c r="G221"/>
  <c r="F221"/>
  <c r="E221"/>
  <c r="J220"/>
  <c r="I220"/>
  <c r="H220"/>
  <c r="G220"/>
  <c r="F220"/>
  <c r="E220"/>
  <c r="J219"/>
  <c r="I219"/>
  <c r="H219"/>
  <c r="G219"/>
  <c r="F219"/>
  <c r="E219"/>
  <c r="H218"/>
  <c r="G218"/>
  <c r="F218"/>
  <c r="E218"/>
  <c r="J217"/>
  <c r="I217"/>
  <c r="H217"/>
  <c r="G217"/>
  <c r="F217"/>
  <c r="E217"/>
  <c r="H216"/>
  <c r="G216"/>
  <c r="F216"/>
  <c r="E216"/>
  <c r="J215"/>
  <c r="I215"/>
  <c r="H215"/>
  <c r="G215"/>
  <c r="F215"/>
  <c r="E215"/>
  <c r="J214"/>
  <c r="I214"/>
  <c r="H214"/>
  <c r="G214"/>
  <c r="F214"/>
  <c r="E214"/>
  <c r="J213"/>
  <c r="I213"/>
  <c r="H213"/>
  <c r="G213"/>
  <c r="F213"/>
  <c r="E213"/>
  <c r="J212"/>
  <c r="I212"/>
  <c r="H212"/>
  <c r="G212"/>
  <c r="F212"/>
  <c r="E212"/>
  <c r="H211"/>
  <c r="G211"/>
  <c r="F211"/>
  <c r="E211"/>
  <c r="G210"/>
  <c r="F210"/>
  <c r="E210"/>
  <c r="G209"/>
  <c r="F209"/>
  <c r="E209"/>
  <c r="J208"/>
  <c r="I208"/>
  <c r="H208"/>
  <c r="G208"/>
  <c r="F208"/>
  <c r="E208"/>
  <c r="H207"/>
  <c r="G207"/>
  <c r="F207"/>
  <c r="E207"/>
  <c r="H206"/>
  <c r="G206"/>
  <c r="F206"/>
  <c r="E206"/>
  <c r="J205"/>
  <c r="I205"/>
  <c r="H205"/>
  <c r="G205"/>
  <c r="F205"/>
  <c r="E205"/>
  <c r="H204"/>
  <c r="G204"/>
  <c r="F204"/>
  <c r="E204"/>
  <c r="H203"/>
  <c r="G203"/>
  <c r="F203"/>
  <c r="E203"/>
  <c r="H202"/>
  <c r="G202"/>
  <c r="F202"/>
  <c r="E202"/>
  <c r="J201"/>
  <c r="I201"/>
  <c r="H201"/>
  <c r="G201"/>
  <c r="F201"/>
  <c r="E201"/>
  <c r="J200"/>
  <c r="I200"/>
  <c r="H200"/>
  <c r="G200"/>
  <c r="F200"/>
  <c r="E200"/>
  <c r="J199"/>
  <c r="I199"/>
  <c r="H199"/>
  <c r="G199"/>
  <c r="F199"/>
  <c r="E199"/>
  <c r="J198"/>
  <c r="I198"/>
  <c r="H198"/>
  <c r="G198"/>
  <c r="F198"/>
  <c r="E198"/>
  <c r="H197"/>
  <c r="G197"/>
  <c r="F197"/>
  <c r="E197"/>
  <c r="J196"/>
  <c r="I196"/>
  <c r="H196"/>
  <c r="G196"/>
  <c r="F196"/>
  <c r="E196"/>
  <c r="J195"/>
  <c r="I195"/>
  <c r="H195"/>
  <c r="G195"/>
  <c r="F195"/>
  <c r="E195"/>
  <c r="J194"/>
  <c r="I194"/>
  <c r="H194"/>
  <c r="G194"/>
  <c r="F194"/>
  <c r="E194"/>
  <c r="H193"/>
  <c r="G193"/>
  <c r="F193"/>
  <c r="E193"/>
  <c r="H192"/>
  <c r="G192"/>
  <c r="F192"/>
  <c r="E192"/>
  <c r="J191"/>
  <c r="I191"/>
  <c r="H191"/>
  <c r="G191"/>
  <c r="F191"/>
  <c r="E191"/>
  <c r="J190"/>
  <c r="I190"/>
  <c r="H190"/>
  <c r="G190"/>
  <c r="F190"/>
  <c r="E190"/>
  <c r="J189"/>
  <c r="I189"/>
  <c r="H189"/>
  <c r="G189"/>
  <c r="F189"/>
  <c r="E189"/>
  <c r="J188"/>
  <c r="I188"/>
  <c r="H188"/>
  <c r="G188"/>
  <c r="F188"/>
  <c r="E188"/>
  <c r="J187"/>
  <c r="I187"/>
  <c r="H187"/>
  <c r="G187"/>
  <c r="F187"/>
  <c r="E187"/>
  <c r="J186"/>
  <c r="I186"/>
  <c r="H186"/>
  <c r="G186"/>
  <c r="F186"/>
  <c r="E186"/>
  <c r="J185"/>
  <c r="I185"/>
  <c r="H185"/>
  <c r="G185"/>
  <c r="F185"/>
  <c r="E185"/>
  <c r="G184"/>
  <c r="F184"/>
  <c r="E184"/>
  <c r="J183"/>
  <c r="I183"/>
  <c r="H183"/>
  <c r="G183"/>
  <c r="F183"/>
  <c r="E183"/>
  <c r="J182"/>
  <c r="I182"/>
  <c r="H182"/>
  <c r="G182"/>
  <c r="F182"/>
  <c r="E182"/>
  <c r="J181"/>
  <c r="I181"/>
  <c r="H181"/>
  <c r="G181"/>
  <c r="F181"/>
  <c r="E181"/>
  <c r="J180"/>
  <c r="I180"/>
  <c r="H180"/>
  <c r="G180"/>
  <c r="F180"/>
  <c r="E180"/>
  <c r="J179"/>
  <c r="I179"/>
  <c r="H179"/>
  <c r="G179"/>
  <c r="F179"/>
  <c r="E179"/>
  <c r="J178"/>
  <c r="I178"/>
  <c r="H178"/>
  <c r="G178"/>
  <c r="F178"/>
  <c r="E178"/>
  <c r="H177"/>
  <c r="G177"/>
  <c r="F177"/>
  <c r="E177"/>
  <c r="J176"/>
  <c r="I176"/>
  <c r="H176"/>
  <c r="G176"/>
  <c r="F176"/>
  <c r="E176"/>
  <c r="J175"/>
  <c r="I175"/>
  <c r="H175"/>
  <c r="G175"/>
  <c r="F175"/>
  <c r="E175"/>
  <c r="H174"/>
  <c r="G174"/>
  <c r="F174"/>
  <c r="E174"/>
  <c r="J173"/>
  <c r="I173"/>
  <c r="H173"/>
  <c r="G173"/>
  <c r="F173"/>
  <c r="E173"/>
  <c r="J172"/>
  <c r="I172"/>
  <c r="H172"/>
  <c r="G172"/>
  <c r="F172"/>
  <c r="E172"/>
  <c r="J171"/>
  <c r="I171"/>
  <c r="H171"/>
  <c r="G171"/>
  <c r="F171"/>
  <c r="E171"/>
  <c r="H170"/>
  <c r="G170"/>
  <c r="F170"/>
  <c r="E170"/>
  <c r="J169"/>
  <c r="I169"/>
  <c r="H169"/>
  <c r="G169"/>
  <c r="F169"/>
  <c r="E169"/>
  <c r="H168"/>
  <c r="G168"/>
  <c r="F168"/>
  <c r="E168"/>
  <c r="J167"/>
  <c r="I167"/>
  <c r="H167"/>
  <c r="G167"/>
  <c r="F167"/>
  <c r="E167"/>
  <c r="J166"/>
  <c r="I166"/>
  <c r="H166"/>
  <c r="G166"/>
  <c r="F166"/>
  <c r="E166"/>
  <c r="J165"/>
  <c r="I165"/>
  <c r="H165"/>
  <c r="G165"/>
  <c r="F165"/>
  <c r="E165"/>
  <c r="H164"/>
  <c r="G164"/>
  <c r="F164"/>
  <c r="E164"/>
  <c r="J163"/>
  <c r="I163"/>
  <c r="H163"/>
  <c r="G163"/>
  <c r="F163"/>
  <c r="E163"/>
  <c r="J162"/>
  <c r="I162"/>
  <c r="H162"/>
  <c r="G162"/>
  <c r="F162"/>
  <c r="E162"/>
  <c r="H161"/>
  <c r="G161"/>
  <c r="F161"/>
  <c r="E161"/>
  <c r="J160"/>
  <c r="I160"/>
  <c r="H160"/>
  <c r="G160"/>
  <c r="F160"/>
  <c r="E160"/>
  <c r="J159"/>
  <c r="I159"/>
  <c r="H159"/>
  <c r="G159"/>
  <c r="F159"/>
  <c r="E159"/>
  <c r="J158"/>
  <c r="I158"/>
  <c r="H158"/>
  <c r="G158"/>
  <c r="F158"/>
  <c r="E158"/>
  <c r="H157"/>
  <c r="G157"/>
  <c r="F157"/>
  <c r="E157"/>
  <c r="H156"/>
  <c r="G156"/>
  <c r="F156"/>
  <c r="E156"/>
  <c r="J155"/>
  <c r="I155"/>
  <c r="H155"/>
  <c r="G155"/>
  <c r="F155"/>
  <c r="E155"/>
  <c r="J154"/>
  <c r="I154"/>
  <c r="H154"/>
  <c r="G154"/>
  <c r="F154"/>
  <c r="E154"/>
  <c r="J153"/>
  <c r="I153"/>
  <c r="H153"/>
  <c r="G153"/>
  <c r="F153"/>
  <c r="E153"/>
  <c r="J152"/>
  <c r="I152"/>
  <c r="H152"/>
  <c r="G152"/>
  <c r="F152"/>
  <c r="E152"/>
  <c r="J151"/>
  <c r="I151"/>
  <c r="H151"/>
  <c r="G151"/>
  <c r="F151"/>
  <c r="E151"/>
  <c r="J150"/>
  <c r="I150"/>
  <c r="H150"/>
  <c r="G150"/>
  <c r="F150"/>
  <c r="E150"/>
  <c r="J149"/>
  <c r="I149"/>
  <c r="H149"/>
  <c r="G149"/>
  <c r="F149"/>
  <c r="E149"/>
  <c r="J148"/>
  <c r="I148"/>
  <c r="H148"/>
  <c r="G148"/>
  <c r="F148"/>
  <c r="E148"/>
  <c r="H147"/>
  <c r="G147"/>
  <c r="F147"/>
  <c r="E147"/>
  <c r="J146"/>
  <c r="I146"/>
  <c r="H146"/>
  <c r="G146"/>
  <c r="F146"/>
  <c r="E146"/>
  <c r="J145"/>
  <c r="I145"/>
  <c r="H145"/>
  <c r="G145"/>
  <c r="F145"/>
  <c r="E145"/>
  <c r="J144"/>
  <c r="I144"/>
  <c r="H144"/>
  <c r="G144"/>
  <c r="F144"/>
  <c r="E144"/>
  <c r="J143"/>
  <c r="I143"/>
  <c r="H143"/>
  <c r="G143"/>
  <c r="F143"/>
  <c r="E143"/>
  <c r="J142"/>
  <c r="I142"/>
  <c r="H142"/>
  <c r="G142"/>
  <c r="F142"/>
  <c r="E142"/>
  <c r="J141"/>
  <c r="I141"/>
  <c r="H141"/>
  <c r="G141"/>
  <c r="F141"/>
  <c r="E141"/>
  <c r="H140"/>
  <c r="G140"/>
  <c r="F140"/>
  <c r="E140"/>
  <c r="H139"/>
  <c r="G139"/>
  <c r="F139"/>
  <c r="E139"/>
  <c r="J138"/>
  <c r="I138"/>
  <c r="H138"/>
  <c r="G138"/>
  <c r="F138"/>
  <c r="E138"/>
  <c r="J137"/>
  <c r="I137"/>
  <c r="H137"/>
  <c r="G137"/>
  <c r="F137"/>
  <c r="E137"/>
  <c r="J136"/>
  <c r="I136"/>
  <c r="H136"/>
  <c r="G136"/>
  <c r="F136"/>
  <c r="E136"/>
  <c r="J135"/>
  <c r="I135"/>
  <c r="H135"/>
  <c r="G135"/>
  <c r="F135"/>
  <c r="E135"/>
  <c r="J134"/>
  <c r="I134"/>
  <c r="H134"/>
  <c r="G134"/>
  <c r="F134"/>
  <c r="E134"/>
  <c r="J133"/>
  <c r="I133"/>
  <c r="H133"/>
  <c r="G133"/>
  <c r="F133"/>
  <c r="E133"/>
  <c r="H132"/>
  <c r="G132"/>
  <c r="F132"/>
  <c r="E132"/>
  <c r="J131"/>
  <c r="I131"/>
  <c r="H131"/>
  <c r="G131"/>
  <c r="F131"/>
  <c r="E131"/>
  <c r="J130"/>
  <c r="I130"/>
  <c r="H130"/>
  <c r="G130"/>
  <c r="F130"/>
  <c r="E130"/>
  <c r="H129"/>
  <c r="G129"/>
  <c r="F129"/>
  <c r="E129"/>
  <c r="J128"/>
  <c r="I128"/>
  <c r="H128"/>
  <c r="G128"/>
  <c r="F128"/>
  <c r="E128"/>
  <c r="H127"/>
  <c r="G127"/>
  <c r="F127"/>
  <c r="E127"/>
  <c r="H126"/>
  <c r="G126"/>
  <c r="F126"/>
  <c r="E126"/>
  <c r="J125"/>
  <c r="I125"/>
  <c r="H125"/>
  <c r="G125"/>
  <c r="F125"/>
  <c r="E125"/>
  <c r="J124"/>
  <c r="I124"/>
  <c r="H124"/>
  <c r="G124"/>
  <c r="F124"/>
  <c r="E124"/>
  <c r="J123"/>
  <c r="I123"/>
  <c r="H123"/>
  <c r="G123"/>
  <c r="F123"/>
  <c r="E123"/>
  <c r="G122"/>
  <c r="F122"/>
  <c r="E122"/>
  <c r="H121"/>
  <c r="G121"/>
  <c r="F121"/>
  <c r="E121"/>
  <c r="J120"/>
  <c r="I120"/>
  <c r="H120"/>
  <c r="G120"/>
  <c r="F120"/>
  <c r="E120"/>
  <c r="J119"/>
  <c r="I119"/>
  <c r="H119"/>
  <c r="G119"/>
  <c r="F119"/>
  <c r="E119"/>
  <c r="J118"/>
  <c r="I118"/>
  <c r="H118"/>
  <c r="G118"/>
  <c r="F118"/>
  <c r="E118"/>
  <c r="J117"/>
  <c r="I117"/>
  <c r="H117"/>
  <c r="G117"/>
  <c r="F117"/>
  <c r="E117"/>
  <c r="J116"/>
  <c r="I116"/>
  <c r="H116"/>
  <c r="G116"/>
  <c r="F116"/>
  <c r="E116"/>
  <c r="J115"/>
  <c r="I115"/>
  <c r="H115"/>
  <c r="G115"/>
  <c r="F115"/>
  <c r="E115"/>
  <c r="J114"/>
  <c r="I114"/>
  <c r="H114"/>
  <c r="G114"/>
  <c r="F114"/>
  <c r="E114"/>
  <c r="H113"/>
  <c r="G113"/>
  <c r="F113"/>
  <c r="E113"/>
  <c r="J112"/>
  <c r="I112"/>
  <c r="H112"/>
  <c r="G112"/>
  <c r="F112"/>
  <c r="E112"/>
  <c r="H111"/>
  <c r="G111"/>
  <c r="F111"/>
  <c r="E111"/>
  <c r="H110"/>
  <c r="G110"/>
  <c r="F110"/>
  <c r="E110"/>
  <c r="J109"/>
  <c r="I109"/>
  <c r="H109"/>
  <c r="G109"/>
  <c r="F109"/>
  <c r="E109"/>
  <c r="J108"/>
  <c r="I108"/>
  <c r="H108"/>
  <c r="G108"/>
  <c r="F108"/>
  <c r="E108"/>
  <c r="J107"/>
  <c r="I107"/>
  <c r="H107"/>
  <c r="G107"/>
  <c r="F107"/>
  <c r="E107"/>
  <c r="J106"/>
  <c r="I106"/>
  <c r="H106"/>
  <c r="G106"/>
  <c r="F106"/>
  <c r="E106"/>
  <c r="H105"/>
  <c r="G105"/>
  <c r="F105"/>
  <c r="E105"/>
  <c r="H104"/>
  <c r="G104"/>
  <c r="F104"/>
  <c r="E104"/>
  <c r="J103"/>
  <c r="I103"/>
  <c r="H103"/>
  <c r="G103"/>
  <c r="F103"/>
  <c r="E103"/>
  <c r="J102"/>
  <c r="I102"/>
  <c r="H102"/>
  <c r="G102"/>
  <c r="F102"/>
  <c r="E102"/>
  <c r="H101"/>
  <c r="G101"/>
  <c r="F101"/>
  <c r="E101"/>
  <c r="H100"/>
  <c r="G100"/>
  <c r="F100"/>
  <c r="E100"/>
  <c r="H99"/>
  <c r="G99"/>
  <c r="F99"/>
  <c r="E99"/>
  <c r="J98"/>
  <c r="I98"/>
  <c r="H98"/>
  <c r="G98"/>
  <c r="F98"/>
  <c r="E98"/>
  <c r="J97"/>
  <c r="I97"/>
  <c r="H97"/>
  <c r="G97"/>
  <c r="F97"/>
  <c r="E97"/>
  <c r="J96"/>
  <c r="I96"/>
  <c r="H96"/>
  <c r="G96"/>
  <c r="F96"/>
  <c r="E96"/>
  <c r="J95"/>
  <c r="I95"/>
  <c r="H95"/>
  <c r="G95"/>
  <c r="F95"/>
  <c r="E95"/>
  <c r="J94"/>
  <c r="I94"/>
  <c r="H94"/>
  <c r="G94"/>
  <c r="F94"/>
  <c r="E94"/>
  <c r="H93"/>
  <c r="G93"/>
  <c r="F93"/>
  <c r="E93"/>
  <c r="J92"/>
  <c r="I92"/>
  <c r="H92"/>
  <c r="G92"/>
  <c r="F92"/>
  <c r="E92"/>
  <c r="J91"/>
  <c r="I91"/>
  <c r="H91"/>
  <c r="G91"/>
  <c r="F91"/>
  <c r="E91"/>
  <c r="H90"/>
  <c r="G90"/>
  <c r="F90"/>
  <c r="E90"/>
  <c r="H89"/>
  <c r="G89"/>
  <c r="F89"/>
  <c r="E89"/>
  <c r="J88"/>
  <c r="I88"/>
  <c r="H88"/>
  <c r="G88"/>
  <c r="F88"/>
  <c r="E88"/>
  <c r="H87"/>
  <c r="G87"/>
  <c r="F87"/>
  <c r="E87"/>
  <c r="H86"/>
  <c r="G86"/>
  <c r="F86"/>
  <c r="E86"/>
  <c r="J85"/>
  <c r="I85"/>
  <c r="H85"/>
  <c r="G85"/>
  <c r="F85"/>
  <c r="E85"/>
  <c r="J84"/>
  <c r="I84"/>
  <c r="H84"/>
  <c r="G84"/>
  <c r="F84"/>
  <c r="E84"/>
  <c r="J83"/>
  <c r="I83"/>
  <c r="H83"/>
  <c r="G83"/>
  <c r="F83"/>
  <c r="E83"/>
  <c r="H82"/>
  <c r="G82"/>
  <c r="F82"/>
  <c r="E82"/>
  <c r="J81"/>
  <c r="I81"/>
  <c r="H81"/>
  <c r="G81"/>
  <c r="F81"/>
  <c r="E81"/>
  <c r="J80"/>
  <c r="I80"/>
  <c r="H80"/>
  <c r="G80"/>
  <c r="F80"/>
  <c r="E80"/>
  <c r="H79"/>
  <c r="G79"/>
  <c r="F79"/>
  <c r="E79"/>
  <c r="J78"/>
  <c r="I78"/>
  <c r="H78"/>
  <c r="G78"/>
  <c r="F78"/>
  <c r="E78"/>
  <c r="H77"/>
  <c r="G77"/>
  <c r="F77"/>
  <c r="E77"/>
  <c r="J76"/>
  <c r="I76"/>
  <c r="H76"/>
  <c r="G76"/>
  <c r="F76"/>
  <c r="E76"/>
  <c r="J75"/>
  <c r="I75"/>
  <c r="H75"/>
  <c r="G75"/>
  <c r="F75"/>
  <c r="E75"/>
  <c r="J74"/>
  <c r="I74"/>
  <c r="H74"/>
  <c r="G74"/>
  <c r="F74"/>
  <c r="E74"/>
  <c r="J73"/>
  <c r="I73"/>
  <c r="H73"/>
  <c r="G73"/>
  <c r="F73"/>
  <c r="E73"/>
  <c r="H72"/>
  <c r="G72"/>
  <c r="F72"/>
  <c r="E72"/>
  <c r="H71"/>
  <c r="G71"/>
  <c r="F71"/>
  <c r="E71"/>
  <c r="J70"/>
  <c r="I70"/>
  <c r="H70"/>
  <c r="G70"/>
  <c r="F70"/>
  <c r="E70"/>
  <c r="H69"/>
  <c r="G69"/>
  <c r="F69"/>
  <c r="E69"/>
  <c r="H68"/>
  <c r="G68"/>
  <c r="F68"/>
  <c r="E68"/>
  <c r="J67"/>
  <c r="I67"/>
  <c r="H67"/>
  <c r="G67"/>
  <c r="F67"/>
  <c r="E67"/>
  <c r="H66"/>
  <c r="G66"/>
  <c r="F66"/>
  <c r="E66"/>
  <c r="J65"/>
  <c r="I65"/>
  <c r="H65"/>
  <c r="G65"/>
  <c r="F65"/>
  <c r="E65"/>
  <c r="J64"/>
  <c r="I64"/>
  <c r="H64"/>
  <c r="G64"/>
  <c r="F64"/>
  <c r="E64"/>
  <c r="H63"/>
  <c r="G63"/>
  <c r="F63"/>
  <c r="E63"/>
  <c r="J62"/>
  <c r="I62"/>
  <c r="H62"/>
  <c r="G62"/>
  <c r="F62"/>
  <c r="E62"/>
  <c r="H61"/>
  <c r="G61"/>
  <c r="F61"/>
  <c r="E61"/>
  <c r="J60"/>
  <c r="I60"/>
  <c r="H60"/>
  <c r="G60"/>
  <c r="F60"/>
  <c r="E60"/>
  <c r="H59"/>
  <c r="G59"/>
  <c r="F59"/>
  <c r="E59"/>
  <c r="J58"/>
  <c r="I58"/>
  <c r="H58"/>
  <c r="G58"/>
  <c r="F58"/>
  <c r="E58"/>
  <c r="J57"/>
  <c r="I57"/>
  <c r="H57"/>
  <c r="G57"/>
  <c r="F57"/>
  <c r="E57"/>
  <c r="J56"/>
  <c r="I56"/>
  <c r="H56"/>
  <c r="G56"/>
  <c r="F56"/>
  <c r="E56"/>
  <c r="J55"/>
  <c r="I55"/>
  <c r="H55"/>
  <c r="G55"/>
  <c r="F55"/>
  <c r="E55"/>
  <c r="J54"/>
  <c r="I54"/>
  <c r="H54"/>
  <c r="G54"/>
  <c r="F54"/>
  <c r="E54"/>
  <c r="J53"/>
  <c r="I53"/>
  <c r="H53"/>
  <c r="G53"/>
  <c r="F53"/>
  <c r="E53"/>
  <c r="J52"/>
  <c r="I52"/>
  <c r="H52"/>
  <c r="G52"/>
  <c r="F52"/>
  <c r="E52"/>
  <c r="J51"/>
  <c r="I51"/>
  <c r="H51"/>
  <c r="G51"/>
  <c r="F51"/>
  <c r="E51"/>
  <c r="J50"/>
  <c r="I50"/>
  <c r="H50"/>
  <c r="G50"/>
  <c r="F50"/>
  <c r="E50"/>
  <c r="J49"/>
  <c r="I49"/>
  <c r="H49"/>
  <c r="G49"/>
  <c r="F49"/>
  <c r="E49"/>
  <c r="J48"/>
  <c r="I48"/>
  <c r="H48"/>
  <c r="G48"/>
  <c r="F48"/>
  <c r="E48"/>
  <c r="J47"/>
  <c r="I47"/>
  <c r="H47"/>
  <c r="G47"/>
  <c r="F47"/>
  <c r="E47"/>
  <c r="H46"/>
  <c r="G46"/>
  <c r="F46"/>
  <c r="E4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H41"/>
  <c r="G41"/>
  <c r="F41"/>
  <c r="E41"/>
  <c r="J40"/>
  <c r="I40"/>
  <c r="H40"/>
  <c r="G40"/>
  <c r="F40"/>
  <c r="E40"/>
  <c r="J39"/>
  <c r="I39"/>
  <c r="H39"/>
  <c r="G39"/>
  <c r="F39"/>
  <c r="E39"/>
  <c r="J38"/>
  <c r="I38"/>
  <c r="H38"/>
  <c r="G38"/>
  <c r="F38"/>
  <c r="E38"/>
  <c r="J37"/>
  <c r="I37"/>
  <c r="H37"/>
  <c r="G37"/>
  <c r="F37"/>
  <c r="E37"/>
  <c r="H36"/>
  <c r="G36"/>
  <c r="F36"/>
  <c r="E36"/>
  <c r="H35"/>
  <c r="G35"/>
  <c r="F35"/>
  <c r="E35"/>
  <c r="H34"/>
  <c r="G34"/>
  <c r="F34"/>
  <c r="E34"/>
  <c r="J33"/>
  <c r="I33"/>
  <c r="H33"/>
  <c r="G33"/>
  <c r="F33"/>
  <c r="E33"/>
  <c r="H32"/>
  <c r="G32"/>
  <c r="F32"/>
  <c r="E32"/>
  <c r="J31"/>
  <c r="I31"/>
  <c r="H31"/>
  <c r="G31"/>
  <c r="F31"/>
  <c r="E31"/>
  <c r="J30"/>
  <c r="I30"/>
  <c r="H30"/>
  <c r="G30"/>
  <c r="F30"/>
  <c r="E30"/>
  <c r="J29"/>
  <c r="I29"/>
  <c r="H29"/>
  <c r="G29"/>
  <c r="F29"/>
  <c r="E29"/>
  <c r="J28"/>
  <c r="I28"/>
  <c r="H28"/>
  <c r="G28"/>
  <c r="F28"/>
  <c r="E28"/>
  <c r="J27"/>
  <c r="I27"/>
  <c r="H27"/>
  <c r="G27"/>
  <c r="F27"/>
  <c r="E27"/>
  <c r="J26"/>
  <c r="I26"/>
  <c r="H26"/>
  <c r="G26"/>
  <c r="F26"/>
  <c r="E26"/>
  <c r="J25"/>
  <c r="I25"/>
  <c r="H25"/>
  <c r="G25"/>
  <c r="F25"/>
  <c r="E25"/>
  <c r="J24"/>
  <c r="I24"/>
  <c r="H24"/>
  <c r="G24"/>
  <c r="F24"/>
  <c r="E24"/>
  <c r="J23"/>
  <c r="I23"/>
  <c r="H23"/>
  <c r="G23"/>
  <c r="F23"/>
  <c r="E23"/>
  <c r="J22"/>
  <c r="I22"/>
  <c r="H22"/>
  <c r="G22"/>
  <c r="F22"/>
  <c r="E22"/>
  <c r="H21"/>
  <c r="G21"/>
  <c r="F21"/>
  <c r="E21"/>
  <c r="J20"/>
  <c r="I20"/>
  <c r="H20"/>
  <c r="G20"/>
  <c r="F20"/>
  <c r="E20"/>
  <c r="H19"/>
  <c r="G19"/>
  <c r="F19"/>
  <c r="E19"/>
  <c r="J18"/>
  <c r="I18"/>
  <c r="H18"/>
  <c r="G18"/>
  <c r="F18"/>
  <c r="E18"/>
  <c r="H17"/>
  <c r="G17"/>
  <c r="F17"/>
  <c r="E17"/>
  <c r="J16"/>
  <c r="I16"/>
  <c r="H16"/>
  <c r="G16"/>
  <c r="F16"/>
  <c r="E16"/>
  <c r="J15"/>
  <c r="I15"/>
  <c r="H15"/>
  <c r="G15"/>
  <c r="F15"/>
  <c r="E15"/>
  <c r="H14"/>
  <c r="G14"/>
  <c r="F14"/>
  <c r="E14"/>
  <c r="J13"/>
  <c r="I13"/>
  <c r="H13"/>
  <c r="G13"/>
  <c r="F13"/>
  <c r="E13"/>
  <c r="H12"/>
  <c r="G12"/>
  <c r="F12"/>
  <c r="E12"/>
  <c r="J11"/>
  <c r="I11"/>
  <c r="H11"/>
  <c r="G11"/>
  <c r="F11"/>
  <c r="E11"/>
  <c r="J10"/>
  <c r="I10"/>
  <c r="H10"/>
  <c r="G10"/>
  <c r="F10"/>
  <c r="E10"/>
  <c r="H9"/>
  <c r="G9"/>
  <c r="F9"/>
  <c r="E9"/>
  <c r="J8"/>
  <c r="I8"/>
  <c r="H8"/>
  <c r="G8"/>
  <c r="F8"/>
  <c r="E8"/>
  <c r="J7"/>
  <c r="I7"/>
  <c r="H7"/>
  <c r="G7"/>
  <c r="F7"/>
  <c r="E7"/>
  <c r="J6"/>
  <c r="I6"/>
  <c r="H6"/>
  <c r="G6"/>
  <c r="F6"/>
  <c r="E6"/>
  <c r="K5"/>
  <c r="J5"/>
  <c r="I5"/>
  <c r="H5"/>
  <c r="G5"/>
  <c r="F5"/>
  <c r="U7" i="1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7"/>
  <c r="O6"/>
  <c r="I237"/>
  <c r="H237"/>
  <c r="F237"/>
  <c r="H236"/>
  <c r="F236"/>
  <c r="I235"/>
  <c r="H235"/>
  <c r="F235"/>
  <c r="H234"/>
  <c r="F234"/>
  <c r="I233"/>
  <c r="H233"/>
  <c r="F233"/>
  <c r="I232"/>
  <c r="H232"/>
  <c r="F232"/>
  <c r="I231"/>
  <c r="H231"/>
  <c r="F231"/>
  <c r="H230"/>
  <c r="F230"/>
  <c r="I229"/>
  <c r="H229"/>
  <c r="F229"/>
  <c r="H228"/>
  <c r="F228"/>
  <c r="I227"/>
  <c r="H227"/>
  <c r="F227"/>
  <c r="I226"/>
  <c r="H226"/>
  <c r="F226"/>
  <c r="I225"/>
  <c r="H225"/>
  <c r="F225"/>
  <c r="I224"/>
  <c r="H224"/>
  <c r="F224"/>
  <c r="I223"/>
  <c r="H223"/>
  <c r="F223"/>
  <c r="I222"/>
  <c r="H222"/>
  <c r="F222"/>
  <c r="I221"/>
  <c r="H221"/>
  <c r="F221"/>
  <c r="I220"/>
  <c r="H220"/>
  <c r="F220"/>
  <c r="I219"/>
  <c r="H219"/>
  <c r="F219"/>
  <c r="I218"/>
  <c r="H218"/>
  <c r="F218"/>
  <c r="I217"/>
  <c r="H217"/>
  <c r="F217"/>
  <c r="I216"/>
  <c r="H216"/>
  <c r="F216"/>
  <c r="H215"/>
  <c r="F215"/>
  <c r="I214"/>
  <c r="H214"/>
  <c r="F214"/>
  <c r="I213"/>
  <c r="H213"/>
  <c r="F213"/>
  <c r="H212"/>
  <c r="F212"/>
  <c r="I211"/>
  <c r="H211"/>
  <c r="F211"/>
  <c r="I210"/>
  <c r="H210"/>
  <c r="F210"/>
  <c r="H209"/>
  <c r="F209"/>
  <c r="I208"/>
  <c r="H208"/>
  <c r="F208"/>
  <c r="I207"/>
  <c r="H207"/>
  <c r="F207"/>
  <c r="I206"/>
  <c r="H206"/>
  <c r="F206"/>
  <c r="I205"/>
  <c r="H205"/>
  <c r="F205"/>
  <c r="F204"/>
  <c r="I203"/>
  <c r="H203"/>
  <c r="F203"/>
  <c r="I202"/>
  <c r="H202"/>
  <c r="F202"/>
  <c r="F201"/>
  <c r="I200"/>
  <c r="H200"/>
  <c r="F200"/>
  <c r="I199"/>
  <c r="H199"/>
  <c r="F199"/>
  <c r="H198"/>
  <c r="F198"/>
  <c r="I197"/>
  <c r="H197"/>
  <c r="F197"/>
  <c r="I196"/>
  <c r="H196"/>
  <c r="F196"/>
  <c r="I195"/>
  <c r="H195"/>
  <c r="F195"/>
  <c r="I194"/>
  <c r="H194"/>
  <c r="F194"/>
  <c r="I193"/>
  <c r="H193"/>
  <c r="F193"/>
  <c r="I192"/>
  <c r="H192"/>
  <c r="F192"/>
  <c r="I191"/>
  <c r="H191"/>
  <c r="F191"/>
  <c r="I190"/>
  <c r="H190"/>
  <c r="F190"/>
  <c r="I189"/>
  <c r="H189"/>
  <c r="F189"/>
  <c r="I188"/>
  <c r="H188"/>
  <c r="F188"/>
  <c r="H187"/>
  <c r="F187"/>
  <c r="I186"/>
  <c r="H186"/>
  <c r="F186"/>
  <c r="I185"/>
  <c r="H185"/>
  <c r="F185"/>
  <c r="H184"/>
  <c r="F184"/>
  <c r="I183"/>
  <c r="H183"/>
  <c r="F183"/>
  <c r="I182"/>
  <c r="H182"/>
  <c r="F182"/>
  <c r="I181"/>
  <c r="H181"/>
  <c r="F181"/>
  <c r="I180"/>
  <c r="H180"/>
  <c r="F180"/>
  <c r="I179"/>
  <c r="H179"/>
  <c r="F179"/>
  <c r="I178"/>
  <c r="H178"/>
  <c r="F178"/>
  <c r="I177"/>
  <c r="H177"/>
  <c r="F177"/>
  <c r="I176"/>
  <c r="H176"/>
  <c r="F176"/>
  <c r="I175"/>
  <c r="H175"/>
  <c r="F175"/>
  <c r="I174"/>
  <c r="H174"/>
  <c r="F174"/>
  <c r="I173"/>
  <c r="H173"/>
  <c r="F173"/>
  <c r="I172"/>
  <c r="H172"/>
  <c r="F172"/>
  <c r="I171"/>
  <c r="H171"/>
  <c r="F171"/>
  <c r="I170"/>
  <c r="H170"/>
  <c r="F170"/>
  <c r="I169"/>
  <c r="H169"/>
  <c r="F169"/>
  <c r="I168"/>
  <c r="H168"/>
  <c r="F168"/>
  <c r="I167"/>
  <c r="H167"/>
  <c r="F167"/>
  <c r="H166"/>
  <c r="F166"/>
  <c r="I165"/>
  <c r="H165"/>
  <c r="F165"/>
  <c r="H164"/>
  <c r="F164"/>
  <c r="I163"/>
  <c r="H163"/>
  <c r="F163"/>
  <c r="H162"/>
  <c r="F162"/>
  <c r="H161"/>
  <c r="F161"/>
  <c r="I160"/>
  <c r="H160"/>
  <c r="F160"/>
  <c r="H159"/>
  <c r="F159"/>
  <c r="I158"/>
  <c r="H158"/>
  <c r="F158"/>
  <c r="I157"/>
  <c r="H157"/>
  <c r="F157"/>
  <c r="I156"/>
  <c r="H156"/>
  <c r="F156"/>
  <c r="H155"/>
  <c r="F155"/>
  <c r="I154"/>
  <c r="H154"/>
  <c r="F154"/>
  <c r="I153"/>
  <c r="H153"/>
  <c r="F153"/>
  <c r="I152"/>
  <c r="H152"/>
  <c r="F152"/>
  <c r="I151"/>
  <c r="H151"/>
  <c r="F151"/>
  <c r="I150"/>
  <c r="H150"/>
  <c r="F150"/>
  <c r="I149"/>
  <c r="H149"/>
  <c r="F149"/>
  <c r="I148"/>
  <c r="H148"/>
  <c r="F148"/>
  <c r="I147"/>
  <c r="H147"/>
  <c r="F147"/>
  <c r="I146"/>
  <c r="H146"/>
  <c r="F146"/>
  <c r="I145"/>
  <c r="H145"/>
  <c r="F145"/>
  <c r="I144"/>
  <c r="H144"/>
  <c r="F144"/>
  <c r="H143"/>
  <c r="F143"/>
  <c r="I142"/>
  <c r="H142"/>
  <c r="F142"/>
  <c r="I141"/>
  <c r="H141"/>
  <c r="F141"/>
  <c r="I140"/>
  <c r="H140"/>
  <c r="F140"/>
  <c r="I139"/>
  <c r="H139"/>
  <c r="F139"/>
  <c r="I138"/>
  <c r="H138"/>
  <c r="F138"/>
  <c r="I137"/>
  <c r="H137"/>
  <c r="F137"/>
  <c r="I136"/>
  <c r="H136"/>
  <c r="F136"/>
  <c r="H135"/>
  <c r="F135"/>
  <c r="H134"/>
  <c r="F134"/>
  <c r="I133"/>
  <c r="H133"/>
  <c r="F133"/>
  <c r="I132"/>
  <c r="H132"/>
  <c r="F132"/>
  <c r="I131"/>
  <c r="H131"/>
  <c r="F131"/>
  <c r="H130"/>
  <c r="F130"/>
  <c r="I129"/>
  <c r="H129"/>
  <c r="F129"/>
  <c r="I128"/>
  <c r="H128"/>
  <c r="F128"/>
  <c r="H127"/>
  <c r="F127"/>
  <c r="I126"/>
  <c r="H126"/>
  <c r="F126"/>
  <c r="I125"/>
  <c r="H125"/>
  <c r="F125"/>
  <c r="I124"/>
  <c r="H124"/>
  <c r="F124"/>
  <c r="H123"/>
  <c r="F123"/>
  <c r="I122"/>
  <c r="H122"/>
  <c r="F122"/>
  <c r="I121"/>
  <c r="H121"/>
  <c r="F121"/>
  <c r="H120"/>
  <c r="F120"/>
  <c r="I119"/>
  <c r="H119"/>
  <c r="F119"/>
  <c r="I118"/>
  <c r="H118"/>
  <c r="F118"/>
  <c r="I117"/>
  <c r="H117"/>
  <c r="F117"/>
  <c r="I116"/>
  <c r="H116"/>
  <c r="F116"/>
  <c r="H115"/>
  <c r="F115"/>
  <c r="F114"/>
  <c r="I113"/>
  <c r="H113"/>
  <c r="F113"/>
  <c r="I112"/>
  <c r="H112"/>
  <c r="F112"/>
  <c r="H111"/>
  <c r="F111"/>
  <c r="I110"/>
  <c r="H110"/>
  <c r="F110"/>
  <c r="I109"/>
  <c r="H109"/>
  <c r="F109"/>
  <c r="I108"/>
  <c r="H108"/>
  <c r="F108"/>
  <c r="I107"/>
  <c r="H107"/>
  <c r="F107"/>
  <c r="I106"/>
  <c r="H106"/>
  <c r="F106"/>
  <c r="I105"/>
  <c r="H105"/>
  <c r="F105"/>
  <c r="H104"/>
  <c r="F104"/>
  <c r="I103"/>
  <c r="H103"/>
  <c r="F103"/>
  <c r="H102"/>
  <c r="F102"/>
  <c r="I101"/>
  <c r="H101"/>
  <c r="F101"/>
  <c r="I100"/>
  <c r="H100"/>
  <c r="F100"/>
  <c r="I99"/>
  <c r="H99"/>
  <c r="F99"/>
  <c r="H98"/>
  <c r="F98"/>
  <c r="I97"/>
  <c r="H97"/>
  <c r="F97"/>
  <c r="I96"/>
  <c r="H96"/>
  <c r="F96"/>
  <c r="I95"/>
  <c r="H95"/>
  <c r="F95"/>
  <c r="I94"/>
  <c r="H94"/>
  <c r="F94"/>
  <c r="I93"/>
  <c r="H93"/>
  <c r="F93"/>
  <c r="I92"/>
  <c r="H92"/>
  <c r="F92"/>
  <c r="I91"/>
  <c r="H91"/>
  <c r="F91"/>
  <c r="H90"/>
  <c r="F90"/>
  <c r="I89"/>
  <c r="H89"/>
  <c r="F89"/>
  <c r="I88"/>
  <c r="H88"/>
  <c r="F88"/>
  <c r="I87"/>
  <c r="H87"/>
  <c r="F87"/>
  <c r="I86"/>
  <c r="H86"/>
  <c r="F86"/>
  <c r="I85"/>
  <c r="H85"/>
  <c r="F85"/>
  <c r="I84"/>
  <c r="H84"/>
  <c r="F84"/>
  <c r="H83"/>
  <c r="F83"/>
  <c r="I82"/>
  <c r="H82"/>
  <c r="F82"/>
  <c r="I81"/>
  <c r="H81"/>
  <c r="F81"/>
  <c r="H80"/>
  <c r="F80"/>
  <c r="F79"/>
  <c r="I78"/>
  <c r="H78"/>
  <c r="F78"/>
  <c r="I77"/>
  <c r="H77"/>
  <c r="F77"/>
  <c r="I76"/>
  <c r="H76"/>
  <c r="F76"/>
  <c r="H75"/>
  <c r="F75"/>
  <c r="I74"/>
  <c r="H74"/>
  <c r="F74"/>
  <c r="I73"/>
  <c r="H73"/>
  <c r="F73"/>
  <c r="I72"/>
  <c r="H72"/>
  <c r="F72"/>
  <c r="H71"/>
  <c r="F71"/>
  <c r="I70"/>
  <c r="H70"/>
  <c r="F70"/>
  <c r="I69"/>
  <c r="H69"/>
  <c r="F69"/>
  <c r="I68"/>
  <c r="H68"/>
  <c r="F68"/>
  <c r="I67"/>
  <c r="H67"/>
  <c r="F67"/>
  <c r="I66"/>
  <c r="H66"/>
  <c r="F66"/>
  <c r="H65"/>
  <c r="F65"/>
  <c r="I64"/>
  <c r="H64"/>
  <c r="F64"/>
  <c r="I63"/>
  <c r="H63"/>
  <c r="F63"/>
  <c r="H62"/>
  <c r="F62"/>
  <c r="I61"/>
  <c r="H61"/>
  <c r="F61"/>
  <c r="I60"/>
  <c r="H60"/>
  <c r="F60"/>
  <c r="I59"/>
  <c r="H59"/>
  <c r="F59"/>
  <c r="I58"/>
  <c r="H58"/>
  <c r="F58"/>
  <c r="I57"/>
  <c r="H57"/>
  <c r="F57"/>
  <c r="H56"/>
  <c r="F56"/>
  <c r="I55"/>
  <c r="H55"/>
  <c r="F55"/>
  <c r="I54"/>
  <c r="H54"/>
  <c r="F54"/>
  <c r="I53"/>
  <c r="H53"/>
  <c r="F53"/>
  <c r="I52"/>
  <c r="H52"/>
  <c r="F52"/>
  <c r="H51"/>
  <c r="F51"/>
  <c r="H50"/>
  <c r="F50"/>
  <c r="I49"/>
  <c r="H49"/>
  <c r="F49"/>
  <c r="H48"/>
  <c r="F48"/>
  <c r="I47"/>
  <c r="H47"/>
  <c r="F47"/>
  <c r="H46"/>
  <c r="F46"/>
  <c r="I45"/>
  <c r="H45"/>
  <c r="F45"/>
  <c r="I44"/>
  <c r="H44"/>
  <c r="F44"/>
  <c r="I43"/>
  <c r="H43"/>
  <c r="F43"/>
  <c r="I42"/>
  <c r="H42"/>
  <c r="F42"/>
  <c r="I41"/>
  <c r="H41"/>
  <c r="F41"/>
  <c r="I40"/>
  <c r="H40"/>
  <c r="F40"/>
  <c r="I39"/>
  <c r="H39"/>
  <c r="F39"/>
  <c r="I38"/>
  <c r="H38"/>
  <c r="F38"/>
  <c r="I37"/>
  <c r="H37"/>
  <c r="F37"/>
  <c r="I36"/>
  <c r="H36"/>
  <c r="F36"/>
  <c r="H35"/>
  <c r="F35"/>
  <c r="I34"/>
  <c r="H34"/>
  <c r="F34"/>
  <c r="I33"/>
  <c r="H33"/>
  <c r="F33"/>
  <c r="I32"/>
  <c r="H32"/>
  <c r="F32"/>
  <c r="I31"/>
  <c r="H31"/>
  <c r="F31"/>
  <c r="I30"/>
  <c r="H30"/>
  <c r="F30"/>
  <c r="I29"/>
  <c r="H29"/>
  <c r="F29"/>
  <c r="I28"/>
  <c r="H28"/>
  <c r="F28"/>
  <c r="H27"/>
  <c r="F27"/>
  <c r="I26"/>
  <c r="H26"/>
  <c r="F26"/>
  <c r="I25"/>
  <c r="H25"/>
  <c r="F25"/>
  <c r="H24"/>
  <c r="F24"/>
  <c r="I23"/>
  <c r="H23"/>
  <c r="F23"/>
  <c r="I22"/>
  <c r="H22"/>
  <c r="F22"/>
  <c r="I21"/>
  <c r="H21"/>
  <c r="F21"/>
  <c r="I20"/>
  <c r="H20"/>
  <c r="F20"/>
  <c r="I19"/>
  <c r="H19"/>
  <c r="F19"/>
  <c r="I18"/>
  <c r="H18"/>
  <c r="F18"/>
  <c r="I17"/>
  <c r="H17"/>
  <c r="F17"/>
  <c r="I16"/>
  <c r="H16"/>
  <c r="F16"/>
  <c r="I15"/>
  <c r="H15"/>
  <c r="F15"/>
  <c r="H14"/>
  <c r="F14"/>
  <c r="I13"/>
  <c r="H13"/>
  <c r="F13"/>
  <c r="H12"/>
  <c r="F12"/>
  <c r="I11"/>
  <c r="H11"/>
  <c r="F11"/>
  <c r="I10"/>
  <c r="H10"/>
  <c r="F10"/>
  <c r="I9"/>
  <c r="H9"/>
  <c r="F9"/>
  <c r="I8"/>
  <c r="H8"/>
  <c r="F8"/>
  <c r="I7"/>
  <c r="H7"/>
  <c r="F7"/>
  <c r="I6"/>
  <c r="H6"/>
  <c r="F6"/>
  <c r="J458" i="5"/>
  <c r="I458"/>
  <c r="H458"/>
  <c r="G458"/>
  <c r="F458"/>
  <c r="E458"/>
  <c r="H457"/>
  <c r="G457"/>
  <c r="F457"/>
  <c r="E457"/>
  <c r="H456"/>
  <c r="G456"/>
  <c r="F456"/>
  <c r="E456"/>
  <c r="J455"/>
  <c r="I455"/>
  <c r="H455"/>
  <c r="G455"/>
  <c r="F455"/>
  <c r="E455"/>
  <c r="J454"/>
  <c r="I454"/>
  <c r="H454"/>
  <c r="G454"/>
  <c r="F454"/>
  <c r="E454"/>
  <c r="H453"/>
  <c r="G453"/>
  <c r="F453"/>
  <c r="E453"/>
  <c r="J452"/>
  <c r="I452"/>
  <c r="H452"/>
  <c r="G452"/>
  <c r="F452"/>
  <c r="E452"/>
  <c r="G451"/>
  <c r="F451"/>
  <c r="E451"/>
  <c r="G450"/>
  <c r="F450"/>
  <c r="E450"/>
  <c r="J449"/>
  <c r="I449"/>
  <c r="H449"/>
  <c r="G449"/>
  <c r="F449"/>
  <c r="E449"/>
  <c r="J448"/>
  <c r="I448"/>
  <c r="H448"/>
  <c r="G448"/>
  <c r="F448"/>
  <c r="E448"/>
  <c r="J447"/>
  <c r="I447"/>
  <c r="H447"/>
  <c r="G447"/>
  <c r="F447"/>
  <c r="E447"/>
  <c r="J446"/>
  <c r="I446"/>
  <c r="H446"/>
  <c r="G446"/>
  <c r="F446"/>
  <c r="E446"/>
  <c r="J445"/>
  <c r="I445"/>
  <c r="H445"/>
  <c r="G445"/>
  <c r="F445"/>
  <c r="E445"/>
  <c r="J444"/>
  <c r="I444"/>
  <c r="H444"/>
  <c r="G444"/>
  <c r="F444"/>
  <c r="E444"/>
  <c r="J443"/>
  <c r="I443"/>
  <c r="H443"/>
  <c r="G443"/>
  <c r="F443"/>
  <c r="E443"/>
  <c r="J442"/>
  <c r="I442"/>
  <c r="H442"/>
  <c r="G442"/>
  <c r="F442"/>
  <c r="E442"/>
  <c r="J441"/>
  <c r="I441"/>
  <c r="H441"/>
  <c r="G441"/>
  <c r="F441"/>
  <c r="E441"/>
  <c r="J440"/>
  <c r="I440"/>
  <c r="H440"/>
  <c r="G440"/>
  <c r="F440"/>
  <c r="E440"/>
  <c r="J439"/>
  <c r="I439"/>
  <c r="H439"/>
  <c r="G439"/>
  <c r="F439"/>
  <c r="E439"/>
  <c r="G438"/>
  <c r="F438"/>
  <c r="E438"/>
  <c r="J437"/>
  <c r="I437"/>
  <c r="H437"/>
  <c r="G437"/>
  <c r="F437"/>
  <c r="E437"/>
  <c r="J436"/>
  <c r="I436"/>
  <c r="H436"/>
  <c r="G436"/>
  <c r="F436"/>
  <c r="E436"/>
  <c r="J435"/>
  <c r="I435"/>
  <c r="H435"/>
  <c r="G435"/>
  <c r="F435"/>
  <c r="E435"/>
  <c r="H434"/>
  <c r="G434"/>
  <c r="F434"/>
  <c r="E434"/>
  <c r="J433"/>
  <c r="I433"/>
  <c r="H433"/>
  <c r="G433"/>
  <c r="F433"/>
  <c r="E433"/>
  <c r="H432"/>
  <c r="G432"/>
  <c r="F432"/>
  <c r="E432"/>
  <c r="J431"/>
  <c r="I431"/>
  <c r="H431"/>
  <c r="G431"/>
  <c r="F431"/>
  <c r="E431"/>
  <c r="H430"/>
  <c r="G430"/>
  <c r="F430"/>
  <c r="E430"/>
  <c r="J429"/>
  <c r="I429"/>
  <c r="H429"/>
  <c r="G429"/>
  <c r="F429"/>
  <c r="E429"/>
  <c r="J428"/>
  <c r="I428"/>
  <c r="H428"/>
  <c r="G428"/>
  <c r="F428"/>
  <c r="E428"/>
  <c r="J427"/>
  <c r="I427"/>
  <c r="H427"/>
  <c r="G427"/>
  <c r="F427"/>
  <c r="E427"/>
  <c r="H426"/>
  <c r="G426"/>
  <c r="F426"/>
  <c r="E426"/>
  <c r="J425"/>
  <c r="I425"/>
  <c r="H425"/>
  <c r="G425"/>
  <c r="F425"/>
  <c r="E425"/>
  <c r="J424"/>
  <c r="I424"/>
  <c r="H424"/>
  <c r="G424"/>
  <c r="F424"/>
  <c r="E424"/>
  <c r="J423"/>
  <c r="I423"/>
  <c r="H423"/>
  <c r="G423"/>
  <c r="F423"/>
  <c r="E423"/>
  <c r="J422"/>
  <c r="I422"/>
  <c r="H422"/>
  <c r="G422"/>
  <c r="F422"/>
  <c r="E422"/>
  <c r="H421"/>
  <c r="G421"/>
  <c r="F421"/>
  <c r="E421"/>
  <c r="H420"/>
  <c r="G420"/>
  <c r="F420"/>
  <c r="E420"/>
  <c r="J419"/>
  <c r="I419"/>
  <c r="H419"/>
  <c r="G419"/>
  <c r="F419"/>
  <c r="E419"/>
  <c r="J418"/>
  <c r="I418"/>
  <c r="H418"/>
  <c r="G418"/>
  <c r="F418"/>
  <c r="E418"/>
  <c r="G417"/>
  <c r="F417"/>
  <c r="E417"/>
  <c r="J416"/>
  <c r="I416"/>
  <c r="H416"/>
  <c r="G416"/>
  <c r="F416"/>
  <c r="E416"/>
  <c r="H415"/>
  <c r="G415"/>
  <c r="F415"/>
  <c r="E415"/>
  <c r="J414"/>
  <c r="I414"/>
  <c r="H414"/>
  <c r="G414"/>
  <c r="F414"/>
  <c r="E414"/>
  <c r="H413"/>
  <c r="G413"/>
  <c r="F413"/>
  <c r="E413"/>
  <c r="J412"/>
  <c r="I412"/>
  <c r="H412"/>
  <c r="G412"/>
  <c r="F412"/>
  <c r="E412"/>
  <c r="H411"/>
  <c r="G411"/>
  <c r="F411"/>
  <c r="E411"/>
  <c r="H410"/>
  <c r="G410"/>
  <c r="F410"/>
  <c r="E410"/>
  <c r="G409"/>
  <c r="F409"/>
  <c r="E409"/>
  <c r="J408"/>
  <c r="I408"/>
  <c r="H408"/>
  <c r="G408"/>
  <c r="F408"/>
  <c r="E408"/>
  <c r="J407"/>
  <c r="I407"/>
  <c r="H407"/>
  <c r="G407"/>
  <c r="F407"/>
  <c r="E407"/>
  <c r="J406"/>
  <c r="I406"/>
  <c r="H406"/>
  <c r="G406"/>
  <c r="F406"/>
  <c r="E406"/>
  <c r="G405"/>
  <c r="F405"/>
  <c r="E405"/>
  <c r="H404"/>
  <c r="G404"/>
  <c r="F404"/>
  <c r="E404"/>
  <c r="J403"/>
  <c r="I403"/>
  <c r="H403"/>
  <c r="G403"/>
  <c r="F403"/>
  <c r="E403"/>
  <c r="J402"/>
  <c r="I402"/>
  <c r="H402"/>
  <c r="G402"/>
  <c r="F402"/>
  <c r="E402"/>
  <c r="J401"/>
  <c r="I401"/>
  <c r="H401"/>
  <c r="G401"/>
  <c r="F401"/>
  <c r="E401"/>
  <c r="J400"/>
  <c r="I400"/>
  <c r="H400"/>
  <c r="G400"/>
  <c r="F400"/>
  <c r="E400"/>
  <c r="H399"/>
  <c r="G399"/>
  <c r="F399"/>
  <c r="E399"/>
  <c r="H398"/>
  <c r="G398"/>
  <c r="F398"/>
  <c r="E398"/>
  <c r="J397"/>
  <c r="I397"/>
  <c r="H397"/>
  <c r="G397"/>
  <c r="F397"/>
  <c r="E397"/>
  <c r="G396"/>
  <c r="F396"/>
  <c r="E396"/>
  <c r="J395"/>
  <c r="I395"/>
  <c r="H395"/>
  <c r="G395"/>
  <c r="F395"/>
  <c r="E395"/>
  <c r="G394"/>
  <c r="F394"/>
  <c r="E394"/>
  <c r="J393"/>
  <c r="I393"/>
  <c r="H393"/>
  <c r="G393"/>
  <c r="F393"/>
  <c r="E393"/>
  <c r="H392"/>
  <c r="G392"/>
  <c r="F392"/>
  <c r="E392"/>
  <c r="J391"/>
  <c r="I391"/>
  <c r="H391"/>
  <c r="G391"/>
  <c r="F391"/>
  <c r="E391"/>
  <c r="J390"/>
  <c r="I390"/>
  <c r="H390"/>
  <c r="G390"/>
  <c r="F390"/>
  <c r="E390"/>
  <c r="J389"/>
  <c r="I389"/>
  <c r="H389"/>
  <c r="G389"/>
  <c r="F389"/>
  <c r="E389"/>
  <c r="J388"/>
  <c r="I388"/>
  <c r="H388"/>
  <c r="G388"/>
  <c r="F388"/>
  <c r="E388"/>
  <c r="G387"/>
  <c r="F387"/>
  <c r="E387"/>
  <c r="J386"/>
  <c r="I386"/>
  <c r="H386"/>
  <c r="G386"/>
  <c r="F386"/>
  <c r="E386"/>
  <c r="G385"/>
  <c r="F385"/>
  <c r="E385"/>
  <c r="J384"/>
  <c r="I384"/>
  <c r="H384"/>
  <c r="G384"/>
  <c r="F384"/>
  <c r="E384"/>
  <c r="J383"/>
  <c r="I383"/>
  <c r="H383"/>
  <c r="G383"/>
  <c r="F383"/>
  <c r="E383"/>
  <c r="J382"/>
  <c r="I382"/>
  <c r="H382"/>
  <c r="G382"/>
  <c r="F382"/>
  <c r="E382"/>
  <c r="J381"/>
  <c r="I381"/>
  <c r="H381"/>
  <c r="G381"/>
  <c r="F381"/>
  <c r="E381"/>
  <c r="J380"/>
  <c r="I380"/>
  <c r="H380"/>
  <c r="G380"/>
  <c r="F380"/>
  <c r="E380"/>
  <c r="J379"/>
  <c r="I379"/>
  <c r="H379"/>
  <c r="G379"/>
  <c r="F379"/>
  <c r="E379"/>
  <c r="J378"/>
  <c r="I378"/>
  <c r="H378"/>
  <c r="G378"/>
  <c r="F378"/>
  <c r="E378"/>
  <c r="J377"/>
  <c r="I377"/>
  <c r="H377"/>
  <c r="G377"/>
  <c r="F377"/>
  <c r="E377"/>
  <c r="J376"/>
  <c r="I376"/>
  <c r="H376"/>
  <c r="G376"/>
  <c r="F376"/>
  <c r="E376"/>
  <c r="J375"/>
  <c r="I375"/>
  <c r="H375"/>
  <c r="G375"/>
  <c r="F375"/>
  <c r="E375"/>
  <c r="J374"/>
  <c r="I374"/>
  <c r="H374"/>
  <c r="G374"/>
  <c r="F374"/>
  <c r="E374"/>
  <c r="J373"/>
  <c r="I373"/>
  <c r="H373"/>
  <c r="G373"/>
  <c r="F373"/>
  <c r="E373"/>
  <c r="J372"/>
  <c r="I372"/>
  <c r="H372"/>
  <c r="G372"/>
  <c r="F372"/>
  <c r="E372"/>
  <c r="J371"/>
  <c r="I371"/>
  <c r="H371"/>
  <c r="G371"/>
  <c r="F371"/>
  <c r="E371"/>
  <c r="J370"/>
  <c r="I370"/>
  <c r="H370"/>
  <c r="G370"/>
  <c r="F370"/>
  <c r="E370"/>
  <c r="J369"/>
  <c r="I369"/>
  <c r="H369"/>
  <c r="G369"/>
  <c r="F369"/>
  <c r="E369"/>
  <c r="J368"/>
  <c r="I368"/>
  <c r="H368"/>
  <c r="G368"/>
  <c r="F368"/>
  <c r="E368"/>
  <c r="J367"/>
  <c r="I367"/>
  <c r="H367"/>
  <c r="G367"/>
  <c r="F367"/>
  <c r="E367"/>
  <c r="J366"/>
  <c r="I366"/>
  <c r="H366"/>
  <c r="G366"/>
  <c r="F366"/>
  <c r="E366"/>
  <c r="J365"/>
  <c r="I365"/>
  <c r="H365"/>
  <c r="G365"/>
  <c r="F365"/>
  <c r="E365"/>
  <c r="G364"/>
  <c r="F364"/>
  <c r="E364"/>
  <c r="J363"/>
  <c r="I363"/>
  <c r="H363"/>
  <c r="G363"/>
  <c r="F363"/>
  <c r="E363"/>
  <c r="J362"/>
  <c r="I362"/>
  <c r="H362"/>
  <c r="G362"/>
  <c r="F362"/>
  <c r="E362"/>
  <c r="J361"/>
  <c r="I361"/>
  <c r="H361"/>
  <c r="G361"/>
  <c r="F361"/>
  <c r="E361"/>
  <c r="J360"/>
  <c r="I360"/>
  <c r="H360"/>
  <c r="G360"/>
  <c r="F360"/>
  <c r="E360"/>
  <c r="J359"/>
  <c r="I359"/>
  <c r="H359"/>
  <c r="G359"/>
  <c r="F359"/>
  <c r="E359"/>
  <c r="H358"/>
  <c r="G358"/>
  <c r="F358"/>
  <c r="E358"/>
  <c r="H357"/>
  <c r="G357"/>
  <c r="F357"/>
  <c r="E357"/>
  <c r="J356"/>
  <c r="I356"/>
  <c r="H356"/>
  <c r="G356"/>
  <c r="F356"/>
  <c r="E356"/>
  <c r="J355"/>
  <c r="I355"/>
  <c r="H355"/>
  <c r="G355"/>
  <c r="F355"/>
  <c r="E355"/>
  <c r="J354"/>
  <c r="I354"/>
  <c r="H354"/>
  <c r="G354"/>
  <c r="F354"/>
  <c r="E354"/>
  <c r="J353"/>
  <c r="I353"/>
  <c r="H353"/>
  <c r="G353"/>
  <c r="F353"/>
  <c r="E353"/>
  <c r="H352"/>
  <c r="G352"/>
  <c r="F352"/>
  <c r="E352"/>
  <c r="H351"/>
  <c r="G351"/>
  <c r="F351"/>
  <c r="E351"/>
  <c r="H350"/>
  <c r="G350"/>
  <c r="F350"/>
  <c r="E350"/>
  <c r="J349"/>
  <c r="I349"/>
  <c r="H349"/>
  <c r="G349"/>
  <c r="F349"/>
  <c r="E349"/>
  <c r="J348"/>
  <c r="I348"/>
  <c r="H348"/>
  <c r="G348"/>
  <c r="F348"/>
  <c r="E348"/>
  <c r="J347"/>
  <c r="I347"/>
  <c r="H347"/>
  <c r="G347"/>
  <c r="F347"/>
  <c r="E347"/>
  <c r="J346"/>
  <c r="I346"/>
  <c r="H346"/>
  <c r="G346"/>
  <c r="F346"/>
  <c r="E346"/>
  <c r="J345"/>
  <c r="I345"/>
  <c r="H345"/>
  <c r="G345"/>
  <c r="F345"/>
  <c r="E345"/>
  <c r="H344"/>
  <c r="G344"/>
  <c r="F344"/>
  <c r="E344"/>
  <c r="J343"/>
  <c r="I343"/>
  <c r="H343"/>
  <c r="G343"/>
  <c r="F343"/>
  <c r="E343"/>
  <c r="J342"/>
  <c r="I342"/>
  <c r="H342"/>
  <c r="G342"/>
  <c r="F342"/>
  <c r="E342"/>
  <c r="J341"/>
  <c r="I341"/>
  <c r="H341"/>
  <c r="G341"/>
  <c r="F341"/>
  <c r="E341"/>
  <c r="H340"/>
  <c r="G340"/>
  <c r="F340"/>
  <c r="E340"/>
  <c r="J339"/>
  <c r="I339"/>
  <c r="H339"/>
  <c r="G339"/>
  <c r="F339"/>
  <c r="E339"/>
  <c r="J338"/>
  <c r="I338"/>
  <c r="H338"/>
  <c r="G338"/>
  <c r="F338"/>
  <c r="E338"/>
  <c r="H337"/>
  <c r="G337"/>
  <c r="F337"/>
  <c r="E337"/>
  <c r="J336"/>
  <c r="I336"/>
  <c r="H336"/>
  <c r="G336"/>
  <c r="F336"/>
  <c r="E336"/>
  <c r="H335"/>
  <c r="G335"/>
  <c r="F335"/>
  <c r="E335"/>
  <c r="J334"/>
  <c r="I334"/>
  <c r="H334"/>
  <c r="G334"/>
  <c r="F334"/>
  <c r="E334"/>
  <c r="J333"/>
  <c r="I333"/>
  <c r="H333"/>
  <c r="G333"/>
  <c r="F333"/>
  <c r="E333"/>
  <c r="J332"/>
  <c r="I332"/>
  <c r="H332"/>
  <c r="G332"/>
  <c r="F332"/>
  <c r="E332"/>
  <c r="H331"/>
  <c r="G331"/>
  <c r="F331"/>
  <c r="E331"/>
  <c r="J330"/>
  <c r="I330"/>
  <c r="H330"/>
  <c r="G330"/>
  <c r="F330"/>
  <c r="E330"/>
  <c r="J329"/>
  <c r="I329"/>
  <c r="H329"/>
  <c r="G329"/>
  <c r="F329"/>
  <c r="E329"/>
  <c r="J328"/>
  <c r="I328"/>
  <c r="H328"/>
  <c r="G328"/>
  <c r="F328"/>
  <c r="E328"/>
  <c r="G327"/>
  <c r="F327"/>
  <c r="E327"/>
  <c r="J326"/>
  <c r="I326"/>
  <c r="H326"/>
  <c r="G326"/>
  <c r="F326"/>
  <c r="E326"/>
  <c r="J325"/>
  <c r="I325"/>
  <c r="H325"/>
  <c r="G325"/>
  <c r="F325"/>
  <c r="E325"/>
  <c r="J324"/>
  <c r="I324"/>
  <c r="H324"/>
  <c r="G324"/>
  <c r="F324"/>
  <c r="E324"/>
  <c r="J323"/>
  <c r="I323"/>
  <c r="H323"/>
  <c r="G323"/>
  <c r="F323"/>
  <c r="E323"/>
  <c r="H322"/>
  <c r="G322"/>
  <c r="F322"/>
  <c r="E322"/>
  <c r="J321"/>
  <c r="I321"/>
  <c r="H321"/>
  <c r="G321"/>
  <c r="F321"/>
  <c r="E321"/>
  <c r="J320"/>
  <c r="I320"/>
  <c r="H320"/>
  <c r="G320"/>
  <c r="F320"/>
  <c r="E320"/>
  <c r="H319"/>
  <c r="G319"/>
  <c r="F319"/>
  <c r="E319"/>
  <c r="J318"/>
  <c r="I318"/>
  <c r="H318"/>
  <c r="G318"/>
  <c r="F318"/>
  <c r="E318"/>
  <c r="J317"/>
  <c r="I317"/>
  <c r="H317"/>
  <c r="G317"/>
  <c r="F317"/>
  <c r="E317"/>
  <c r="J316"/>
  <c r="I316"/>
  <c r="H316"/>
  <c r="G316"/>
  <c r="F316"/>
  <c r="E316"/>
  <c r="J315"/>
  <c r="I315"/>
  <c r="H315"/>
  <c r="G315"/>
  <c r="F315"/>
  <c r="E315"/>
  <c r="H314"/>
  <c r="G314"/>
  <c r="F314"/>
  <c r="E314"/>
  <c r="H313"/>
  <c r="G313"/>
  <c r="F313"/>
  <c r="E313"/>
  <c r="J312"/>
  <c r="I312"/>
  <c r="H312"/>
  <c r="G312"/>
  <c r="F312"/>
  <c r="E312"/>
  <c r="J311"/>
  <c r="I311"/>
  <c r="H311"/>
  <c r="G311"/>
  <c r="F311"/>
  <c r="E311"/>
  <c r="J310"/>
  <c r="I310"/>
  <c r="H310"/>
  <c r="G310"/>
  <c r="F310"/>
  <c r="E310"/>
  <c r="J309"/>
  <c r="I309"/>
  <c r="H309"/>
  <c r="G309"/>
  <c r="F309"/>
  <c r="E309"/>
  <c r="J308"/>
  <c r="I308"/>
  <c r="H308"/>
  <c r="G308"/>
  <c r="F308"/>
  <c r="E308"/>
  <c r="H307"/>
  <c r="G307"/>
  <c r="F307"/>
  <c r="E307"/>
  <c r="J306"/>
  <c r="I306"/>
  <c r="H306"/>
  <c r="G306"/>
  <c r="F306"/>
  <c r="E306"/>
  <c r="H305"/>
  <c r="G305"/>
  <c r="F305"/>
  <c r="E305"/>
  <c r="J304"/>
  <c r="I304"/>
  <c r="H304"/>
  <c r="G304"/>
  <c r="F304"/>
  <c r="E304"/>
  <c r="J303"/>
  <c r="I303"/>
  <c r="H303"/>
  <c r="G303"/>
  <c r="F303"/>
  <c r="E303"/>
  <c r="H302"/>
  <c r="G302"/>
  <c r="F302"/>
  <c r="E302"/>
  <c r="H301"/>
  <c r="G301"/>
  <c r="F301"/>
  <c r="E301"/>
  <c r="H300"/>
  <c r="G300"/>
  <c r="F300"/>
  <c r="E300"/>
  <c r="J299"/>
  <c r="I299"/>
  <c r="H299"/>
  <c r="G299"/>
  <c r="F299"/>
  <c r="E299"/>
  <c r="H298"/>
  <c r="G298"/>
  <c r="F298"/>
  <c r="E298"/>
  <c r="J297"/>
  <c r="I297"/>
  <c r="H297"/>
  <c r="G297"/>
  <c r="F297"/>
  <c r="E297"/>
  <c r="H296"/>
  <c r="G296"/>
  <c r="F296"/>
  <c r="E296"/>
  <c r="J295"/>
  <c r="I295"/>
  <c r="H295"/>
  <c r="G295"/>
  <c r="F295"/>
  <c r="E295"/>
  <c r="J294"/>
  <c r="I294"/>
  <c r="H294"/>
  <c r="G294"/>
  <c r="F294"/>
  <c r="E294"/>
  <c r="J293"/>
  <c r="I293"/>
  <c r="H293"/>
  <c r="G293"/>
  <c r="F293"/>
  <c r="E293"/>
  <c r="J292"/>
  <c r="I292"/>
  <c r="H292"/>
  <c r="G292"/>
  <c r="F292"/>
  <c r="E292"/>
  <c r="G291"/>
  <c r="F291"/>
  <c r="E291"/>
  <c r="H290"/>
  <c r="G290"/>
  <c r="F290"/>
  <c r="E290"/>
  <c r="J289"/>
  <c r="I289"/>
  <c r="H289"/>
  <c r="G289"/>
  <c r="F289"/>
  <c r="E289"/>
  <c r="J288"/>
  <c r="I288"/>
  <c r="H288"/>
  <c r="G288"/>
  <c r="F288"/>
  <c r="E288"/>
  <c r="J287"/>
  <c r="I287"/>
  <c r="H287"/>
  <c r="G287"/>
  <c r="F287"/>
  <c r="E287"/>
  <c r="H286"/>
  <c r="G286"/>
  <c r="F286"/>
  <c r="E286"/>
  <c r="G285"/>
  <c r="F285"/>
  <c r="E285"/>
  <c r="J284"/>
  <c r="I284"/>
  <c r="H284"/>
  <c r="G284"/>
  <c r="F284"/>
  <c r="E284"/>
  <c r="H283"/>
  <c r="G283"/>
  <c r="F283"/>
  <c r="E283"/>
  <c r="J282"/>
  <c r="I282"/>
  <c r="H282"/>
  <c r="G282"/>
  <c r="F282"/>
  <c r="E282"/>
  <c r="H281"/>
  <c r="G281"/>
  <c r="F281"/>
  <c r="E281"/>
  <c r="J280"/>
  <c r="I280"/>
  <c r="H280"/>
  <c r="G280"/>
  <c r="F280"/>
  <c r="E280"/>
  <c r="J279"/>
  <c r="I279"/>
  <c r="H279"/>
  <c r="G279"/>
  <c r="F279"/>
  <c r="E279"/>
  <c r="J278"/>
  <c r="I278"/>
  <c r="H278"/>
  <c r="G278"/>
  <c r="F278"/>
  <c r="E278"/>
  <c r="J277"/>
  <c r="I277"/>
  <c r="H277"/>
  <c r="G277"/>
  <c r="F277"/>
  <c r="E277"/>
  <c r="G276"/>
  <c r="F276"/>
  <c r="E276"/>
  <c r="J275"/>
  <c r="I275"/>
  <c r="H275"/>
  <c r="G275"/>
  <c r="F275"/>
  <c r="E275"/>
  <c r="J274"/>
  <c r="I274"/>
  <c r="H274"/>
  <c r="G274"/>
  <c r="F274"/>
  <c r="E274"/>
  <c r="J273"/>
  <c r="I273"/>
  <c r="H273"/>
  <c r="G273"/>
  <c r="F273"/>
  <c r="E273"/>
  <c r="J272"/>
  <c r="I272"/>
  <c r="H272"/>
  <c r="G272"/>
  <c r="F272"/>
  <c r="E272"/>
  <c r="J271"/>
  <c r="I271"/>
  <c r="H271"/>
  <c r="G271"/>
  <c r="F271"/>
  <c r="E271"/>
  <c r="J270"/>
  <c r="I270"/>
  <c r="H270"/>
  <c r="G270"/>
  <c r="F270"/>
  <c r="E270"/>
  <c r="J269"/>
  <c r="I269"/>
  <c r="H269"/>
  <c r="G269"/>
  <c r="F269"/>
  <c r="E269"/>
  <c r="H268"/>
  <c r="G268"/>
  <c r="F268"/>
  <c r="E268"/>
  <c r="J267"/>
  <c r="I267"/>
  <c r="H267"/>
  <c r="G267"/>
  <c r="F267"/>
  <c r="E267"/>
  <c r="J266"/>
  <c r="I266"/>
  <c r="H266"/>
  <c r="G266"/>
  <c r="F266"/>
  <c r="E266"/>
  <c r="G265"/>
  <c r="F265"/>
  <c r="E265"/>
  <c r="G264"/>
  <c r="F264"/>
  <c r="E264"/>
  <c r="J263"/>
  <c r="I263"/>
  <c r="H263"/>
  <c r="G263"/>
  <c r="F263"/>
  <c r="E263"/>
  <c r="H262"/>
  <c r="G262"/>
  <c r="F262"/>
  <c r="E262"/>
  <c r="J261"/>
  <c r="I261"/>
  <c r="H261"/>
  <c r="G261"/>
  <c r="F261"/>
  <c r="E261"/>
  <c r="H260"/>
  <c r="G260"/>
  <c r="F260"/>
  <c r="E260"/>
  <c r="J259"/>
  <c r="I259"/>
  <c r="H259"/>
  <c r="G259"/>
  <c r="F259"/>
  <c r="E259"/>
  <c r="H258"/>
  <c r="G258"/>
  <c r="F258"/>
  <c r="E258"/>
  <c r="J257"/>
  <c r="I257"/>
  <c r="H257"/>
  <c r="G257"/>
  <c r="F257"/>
  <c r="E257"/>
  <c r="J256"/>
  <c r="I256"/>
  <c r="H256"/>
  <c r="G256"/>
  <c r="F256"/>
  <c r="E256"/>
  <c r="J255"/>
  <c r="I255"/>
  <c r="H255"/>
  <c r="G255"/>
  <c r="F255"/>
  <c r="E255"/>
  <c r="J254"/>
  <c r="I254"/>
  <c r="H254"/>
  <c r="G254"/>
  <c r="F254"/>
  <c r="E254"/>
  <c r="J253"/>
  <c r="I253"/>
  <c r="H253"/>
  <c r="G253"/>
  <c r="F253"/>
  <c r="E253"/>
  <c r="J252"/>
  <c r="I252"/>
  <c r="H252"/>
  <c r="G252"/>
  <c r="F252"/>
  <c r="E252"/>
  <c r="H251"/>
  <c r="G251"/>
  <c r="F251"/>
  <c r="E251"/>
  <c r="J250"/>
  <c r="I250"/>
  <c r="H250"/>
  <c r="G250"/>
  <c r="F250"/>
  <c r="E250"/>
  <c r="J249"/>
  <c r="I249"/>
  <c r="H249"/>
  <c r="G249"/>
  <c r="F249"/>
  <c r="E249"/>
  <c r="J248"/>
  <c r="I248"/>
  <c r="H248"/>
  <c r="G248"/>
  <c r="F248"/>
  <c r="E248"/>
  <c r="J247"/>
  <c r="I247"/>
  <c r="H247"/>
  <c r="G247"/>
  <c r="F247"/>
  <c r="E247"/>
  <c r="H246"/>
  <c r="G246"/>
  <c r="F246"/>
  <c r="E246"/>
  <c r="J245"/>
  <c r="I245"/>
  <c r="H245"/>
  <c r="G245"/>
  <c r="F245"/>
  <c r="E245"/>
  <c r="H244"/>
  <c r="G244"/>
  <c r="F244"/>
  <c r="E244"/>
  <c r="J243"/>
  <c r="I243"/>
  <c r="H243"/>
  <c r="G243"/>
  <c r="F243"/>
  <c r="E243"/>
  <c r="J242"/>
  <c r="I242"/>
  <c r="H242"/>
  <c r="G242"/>
  <c r="F242"/>
  <c r="E242"/>
  <c r="H241"/>
  <c r="G241"/>
  <c r="F241"/>
  <c r="E241"/>
  <c r="H240"/>
  <c r="G240"/>
  <c r="F240"/>
  <c r="E240"/>
  <c r="H239"/>
  <c r="G239"/>
  <c r="F239"/>
  <c r="E239"/>
  <c r="J238"/>
  <c r="I238"/>
  <c r="H238"/>
  <c r="G238"/>
  <c r="F238"/>
  <c r="E238"/>
  <c r="J237"/>
  <c r="I237"/>
  <c r="H237"/>
  <c r="G237"/>
  <c r="F237"/>
  <c r="E237"/>
  <c r="J236"/>
  <c r="I236"/>
  <c r="H236"/>
  <c r="G236"/>
  <c r="F236"/>
  <c r="E236"/>
  <c r="G235"/>
  <c r="F235"/>
  <c r="E235"/>
  <c r="J234"/>
  <c r="I234"/>
  <c r="H234"/>
  <c r="G234"/>
  <c r="F234"/>
  <c r="E234"/>
  <c r="J233"/>
  <c r="I233"/>
  <c r="H233"/>
  <c r="G233"/>
  <c r="F233"/>
  <c r="E233"/>
  <c r="J232"/>
  <c r="I232"/>
  <c r="H232"/>
  <c r="G232"/>
  <c r="F232"/>
  <c r="E232"/>
  <c r="H231"/>
  <c r="G231"/>
  <c r="F231"/>
  <c r="E231"/>
  <c r="J230"/>
  <c r="I230"/>
  <c r="H230"/>
  <c r="G230"/>
  <c r="F230"/>
  <c r="E230"/>
  <c r="H229"/>
  <c r="G229"/>
  <c r="F229"/>
  <c r="E229"/>
  <c r="H228"/>
  <c r="G228"/>
  <c r="F228"/>
  <c r="E228"/>
  <c r="H227"/>
  <c r="G227"/>
  <c r="F227"/>
  <c r="E227"/>
  <c r="J226"/>
  <c r="I226"/>
  <c r="H226"/>
  <c r="G226"/>
  <c r="F226"/>
  <c r="E226"/>
  <c r="G225"/>
  <c r="F225"/>
  <c r="E225"/>
  <c r="J224"/>
  <c r="I224"/>
  <c r="H224"/>
  <c r="G224"/>
  <c r="F224"/>
  <c r="E224"/>
  <c r="J223"/>
  <c r="I223"/>
  <c r="H223"/>
  <c r="G223"/>
  <c r="F223"/>
  <c r="E223"/>
  <c r="J222"/>
  <c r="I222"/>
  <c r="H222"/>
  <c r="G222"/>
  <c r="F222"/>
  <c r="E222"/>
  <c r="J221"/>
  <c r="I221"/>
  <c r="H221"/>
  <c r="G221"/>
  <c r="F221"/>
  <c r="E221"/>
  <c r="H220"/>
  <c r="G220"/>
  <c r="F220"/>
  <c r="E220"/>
  <c r="J219"/>
  <c r="I219"/>
  <c r="H219"/>
  <c r="G219"/>
  <c r="F219"/>
  <c r="E219"/>
  <c r="H218"/>
  <c r="G218"/>
  <c r="F218"/>
  <c r="E218"/>
  <c r="J217"/>
  <c r="I217"/>
  <c r="H217"/>
  <c r="G217"/>
  <c r="F217"/>
  <c r="E217"/>
  <c r="J216"/>
  <c r="I216"/>
  <c r="H216"/>
  <c r="G216"/>
  <c r="F216"/>
  <c r="E216"/>
  <c r="J215"/>
  <c r="I215"/>
  <c r="H215"/>
  <c r="G215"/>
  <c r="F215"/>
  <c r="E215"/>
  <c r="H214"/>
  <c r="G214"/>
  <c r="F214"/>
  <c r="E214"/>
  <c r="J213"/>
  <c r="I213"/>
  <c r="H213"/>
  <c r="G213"/>
  <c r="F213"/>
  <c r="E213"/>
  <c r="H212"/>
  <c r="G212"/>
  <c r="F212"/>
  <c r="E212"/>
  <c r="J211"/>
  <c r="I211"/>
  <c r="H211"/>
  <c r="G211"/>
  <c r="F211"/>
  <c r="E211"/>
  <c r="J210"/>
  <c r="I210"/>
  <c r="H210"/>
  <c r="G210"/>
  <c r="F210"/>
  <c r="E210"/>
  <c r="G209"/>
  <c r="F209"/>
  <c r="E209"/>
  <c r="H208"/>
  <c r="G208"/>
  <c r="F208"/>
  <c r="E208"/>
  <c r="J207"/>
  <c r="I207"/>
  <c r="H207"/>
  <c r="G207"/>
  <c r="F207"/>
  <c r="E207"/>
  <c r="J206"/>
  <c r="I206"/>
  <c r="H206"/>
  <c r="G206"/>
  <c r="F206"/>
  <c r="E206"/>
  <c r="J205"/>
  <c r="I205"/>
  <c r="H205"/>
  <c r="G205"/>
  <c r="F205"/>
  <c r="E205"/>
  <c r="H204"/>
  <c r="G204"/>
  <c r="F204"/>
  <c r="E204"/>
  <c r="J203"/>
  <c r="I203"/>
  <c r="H203"/>
  <c r="G203"/>
  <c r="F203"/>
  <c r="E203"/>
  <c r="J202"/>
  <c r="I202"/>
  <c r="H202"/>
  <c r="G202"/>
  <c r="F202"/>
  <c r="E202"/>
  <c r="J201"/>
  <c r="I201"/>
  <c r="H201"/>
  <c r="G201"/>
  <c r="F201"/>
  <c r="E201"/>
  <c r="J200"/>
  <c r="I200"/>
  <c r="H200"/>
  <c r="G200"/>
  <c r="F200"/>
  <c r="E200"/>
  <c r="J199"/>
  <c r="I199"/>
  <c r="H199"/>
  <c r="G199"/>
  <c r="F199"/>
  <c r="E199"/>
  <c r="J198"/>
  <c r="I198"/>
  <c r="H198"/>
  <c r="G198"/>
  <c r="F198"/>
  <c r="E198"/>
  <c r="H197"/>
  <c r="G197"/>
  <c r="F197"/>
  <c r="E197"/>
  <c r="H196"/>
  <c r="G196"/>
  <c r="F196"/>
  <c r="E196"/>
  <c r="J195"/>
  <c r="I195"/>
  <c r="H195"/>
  <c r="G195"/>
  <c r="F195"/>
  <c r="E195"/>
  <c r="J194"/>
  <c r="I194"/>
  <c r="H194"/>
  <c r="G194"/>
  <c r="F194"/>
  <c r="E194"/>
  <c r="J193"/>
  <c r="I193"/>
  <c r="H193"/>
  <c r="G193"/>
  <c r="F193"/>
  <c r="E193"/>
  <c r="G192"/>
  <c r="F192"/>
  <c r="E192"/>
  <c r="J191"/>
  <c r="I191"/>
  <c r="H191"/>
  <c r="G191"/>
  <c r="F191"/>
  <c r="E191"/>
  <c r="H190"/>
  <c r="G190"/>
  <c r="F190"/>
  <c r="E190"/>
  <c r="H189"/>
  <c r="G189"/>
  <c r="F189"/>
  <c r="E189"/>
  <c r="J188"/>
  <c r="I188"/>
  <c r="H188"/>
  <c r="G188"/>
  <c r="F188"/>
  <c r="E188"/>
  <c r="H187"/>
  <c r="G187"/>
  <c r="F187"/>
  <c r="E187"/>
  <c r="J186"/>
  <c r="I186"/>
  <c r="H186"/>
  <c r="G186"/>
  <c r="F186"/>
  <c r="E186"/>
  <c r="J185"/>
  <c r="I185"/>
  <c r="H185"/>
  <c r="G185"/>
  <c r="F185"/>
  <c r="E185"/>
  <c r="J184"/>
  <c r="I184"/>
  <c r="H184"/>
  <c r="G184"/>
  <c r="F184"/>
  <c r="E184"/>
  <c r="H183"/>
  <c r="G183"/>
  <c r="F183"/>
  <c r="E183"/>
  <c r="J182"/>
  <c r="I182"/>
  <c r="H182"/>
  <c r="G182"/>
  <c r="F182"/>
  <c r="E182"/>
  <c r="J181"/>
  <c r="I181"/>
  <c r="H181"/>
  <c r="G181"/>
  <c r="F181"/>
  <c r="E181"/>
  <c r="J180"/>
  <c r="I180"/>
  <c r="H180"/>
  <c r="G180"/>
  <c r="F180"/>
  <c r="E180"/>
  <c r="J179"/>
  <c r="I179"/>
  <c r="H179"/>
  <c r="G179"/>
  <c r="F179"/>
  <c r="E179"/>
  <c r="J178"/>
  <c r="I178"/>
  <c r="H178"/>
  <c r="G178"/>
  <c r="F178"/>
  <c r="E178"/>
  <c r="J177"/>
  <c r="I177"/>
  <c r="H177"/>
  <c r="G177"/>
  <c r="F177"/>
  <c r="E177"/>
  <c r="J176"/>
  <c r="I176"/>
  <c r="H176"/>
  <c r="G176"/>
  <c r="F176"/>
  <c r="E176"/>
  <c r="J175"/>
  <c r="I175"/>
  <c r="H175"/>
  <c r="G175"/>
  <c r="F175"/>
  <c r="E175"/>
  <c r="J174"/>
  <c r="I174"/>
  <c r="H174"/>
  <c r="G174"/>
  <c r="F174"/>
  <c r="E174"/>
  <c r="H173"/>
  <c r="G173"/>
  <c r="F173"/>
  <c r="E173"/>
  <c r="J172"/>
  <c r="I172"/>
  <c r="H172"/>
  <c r="G172"/>
  <c r="F172"/>
  <c r="E172"/>
  <c r="H171"/>
  <c r="G171"/>
  <c r="F171"/>
  <c r="E171"/>
  <c r="J170"/>
  <c r="I170"/>
  <c r="H170"/>
  <c r="G170"/>
  <c r="F170"/>
  <c r="E170"/>
  <c r="J169"/>
  <c r="I169"/>
  <c r="H169"/>
  <c r="G169"/>
  <c r="F169"/>
  <c r="E169"/>
  <c r="J168"/>
  <c r="I168"/>
  <c r="H168"/>
  <c r="G168"/>
  <c r="F168"/>
  <c r="E168"/>
  <c r="J167"/>
  <c r="I167"/>
  <c r="H167"/>
  <c r="G167"/>
  <c r="F167"/>
  <c r="E167"/>
  <c r="J166"/>
  <c r="I166"/>
  <c r="H166"/>
  <c r="G166"/>
  <c r="F166"/>
  <c r="E166"/>
  <c r="J165"/>
  <c r="I165"/>
  <c r="H165"/>
  <c r="G165"/>
  <c r="F165"/>
  <c r="E165"/>
  <c r="J164"/>
  <c r="I164"/>
  <c r="H164"/>
  <c r="G164"/>
  <c r="F164"/>
  <c r="E164"/>
  <c r="J163"/>
  <c r="I163"/>
  <c r="H163"/>
  <c r="G163"/>
  <c r="F163"/>
  <c r="E163"/>
  <c r="H162"/>
  <c r="G162"/>
  <c r="F162"/>
  <c r="E162"/>
  <c r="J161"/>
  <c r="I161"/>
  <c r="H161"/>
  <c r="G161"/>
  <c r="F161"/>
  <c r="E161"/>
  <c r="J160"/>
  <c r="I160"/>
  <c r="H160"/>
  <c r="G160"/>
  <c r="F160"/>
  <c r="E160"/>
  <c r="J159"/>
  <c r="I159"/>
  <c r="H159"/>
  <c r="G159"/>
  <c r="F159"/>
  <c r="E159"/>
  <c r="H158"/>
  <c r="G158"/>
  <c r="F158"/>
  <c r="E158"/>
  <c r="G157"/>
  <c r="F157"/>
  <c r="E157"/>
  <c r="J156"/>
  <c r="I156"/>
  <c r="H156"/>
  <c r="G156"/>
  <c r="F156"/>
  <c r="E156"/>
  <c r="H155"/>
  <c r="G155"/>
  <c r="F155"/>
  <c r="E155"/>
  <c r="J154"/>
  <c r="I154"/>
  <c r="H154"/>
  <c r="G154"/>
  <c r="F154"/>
  <c r="E154"/>
  <c r="J153"/>
  <c r="I153"/>
  <c r="H153"/>
  <c r="G153"/>
  <c r="F153"/>
  <c r="E153"/>
  <c r="J152"/>
  <c r="I152"/>
  <c r="H152"/>
  <c r="G152"/>
  <c r="F152"/>
  <c r="E152"/>
  <c r="H151"/>
  <c r="G151"/>
  <c r="F151"/>
  <c r="E151"/>
  <c r="J150"/>
  <c r="I150"/>
  <c r="H150"/>
  <c r="G150"/>
  <c r="F150"/>
  <c r="E150"/>
  <c r="J149"/>
  <c r="I149"/>
  <c r="H149"/>
  <c r="G149"/>
  <c r="F149"/>
  <c r="E149"/>
  <c r="H148"/>
  <c r="G148"/>
  <c r="F148"/>
  <c r="E148"/>
  <c r="G147"/>
  <c r="F147"/>
  <c r="E147"/>
  <c r="H146"/>
  <c r="G146"/>
  <c r="F146"/>
  <c r="E146"/>
  <c r="J145"/>
  <c r="I145"/>
  <c r="H145"/>
  <c r="G145"/>
  <c r="F145"/>
  <c r="E145"/>
  <c r="J144"/>
  <c r="I144"/>
  <c r="H144"/>
  <c r="G144"/>
  <c r="F144"/>
  <c r="E144"/>
  <c r="J143"/>
  <c r="I143"/>
  <c r="H143"/>
  <c r="G143"/>
  <c r="F143"/>
  <c r="E143"/>
  <c r="J142"/>
  <c r="I142"/>
  <c r="H142"/>
  <c r="G142"/>
  <c r="F142"/>
  <c r="E142"/>
  <c r="J141"/>
  <c r="I141"/>
  <c r="H141"/>
  <c r="G141"/>
  <c r="F141"/>
  <c r="E141"/>
  <c r="H140"/>
  <c r="G140"/>
  <c r="F140"/>
  <c r="E140"/>
  <c r="J139"/>
  <c r="I139"/>
  <c r="H139"/>
  <c r="G139"/>
  <c r="F139"/>
  <c r="E139"/>
  <c r="J138"/>
  <c r="I138"/>
  <c r="H138"/>
  <c r="G138"/>
  <c r="F138"/>
  <c r="E138"/>
  <c r="J137"/>
  <c r="I137"/>
  <c r="H137"/>
  <c r="G137"/>
  <c r="F137"/>
  <c r="E137"/>
  <c r="H136"/>
  <c r="G136"/>
  <c r="F136"/>
  <c r="E136"/>
  <c r="J135"/>
  <c r="I135"/>
  <c r="H135"/>
  <c r="G135"/>
  <c r="F135"/>
  <c r="E135"/>
  <c r="H134"/>
  <c r="G134"/>
  <c r="F134"/>
  <c r="E134"/>
  <c r="J133"/>
  <c r="I133"/>
  <c r="H133"/>
  <c r="G133"/>
  <c r="F133"/>
  <c r="E133"/>
  <c r="J132"/>
  <c r="I132"/>
  <c r="H132"/>
  <c r="G132"/>
  <c r="F132"/>
  <c r="E132"/>
  <c r="J131"/>
  <c r="I131"/>
  <c r="H131"/>
  <c r="G131"/>
  <c r="F131"/>
  <c r="E131"/>
  <c r="J130"/>
  <c r="I130"/>
  <c r="H130"/>
  <c r="G130"/>
  <c r="F130"/>
  <c r="E130"/>
  <c r="J129"/>
  <c r="I129"/>
  <c r="H129"/>
  <c r="G129"/>
  <c r="F129"/>
  <c r="E129"/>
  <c r="J128"/>
  <c r="I128"/>
  <c r="H128"/>
  <c r="G128"/>
  <c r="F128"/>
  <c r="E128"/>
  <c r="J127"/>
  <c r="I127"/>
  <c r="H127"/>
  <c r="G127"/>
  <c r="F127"/>
  <c r="E127"/>
  <c r="J126"/>
  <c r="I126"/>
  <c r="H126"/>
  <c r="G126"/>
  <c r="F126"/>
  <c r="E126"/>
  <c r="J125"/>
  <c r="I125"/>
  <c r="H125"/>
  <c r="G125"/>
  <c r="F125"/>
  <c r="E125"/>
  <c r="H124"/>
  <c r="G124"/>
  <c r="F124"/>
  <c r="E124"/>
  <c r="J123"/>
  <c r="I123"/>
  <c r="H123"/>
  <c r="G123"/>
  <c r="F123"/>
  <c r="E123"/>
  <c r="J122"/>
  <c r="I122"/>
  <c r="H122"/>
  <c r="G122"/>
  <c r="F122"/>
  <c r="E122"/>
  <c r="J121"/>
  <c r="I121"/>
  <c r="H121"/>
  <c r="G121"/>
  <c r="F121"/>
  <c r="E121"/>
  <c r="J120"/>
  <c r="I120"/>
  <c r="H120"/>
  <c r="G120"/>
  <c r="F120"/>
  <c r="E120"/>
  <c r="H119"/>
  <c r="G119"/>
  <c r="F119"/>
  <c r="E119"/>
  <c r="J118"/>
  <c r="I118"/>
  <c r="H118"/>
  <c r="G118"/>
  <c r="F118"/>
  <c r="E118"/>
  <c r="J117"/>
  <c r="I117"/>
  <c r="H117"/>
  <c r="G117"/>
  <c r="F117"/>
  <c r="E117"/>
  <c r="J116"/>
  <c r="I116"/>
  <c r="H116"/>
  <c r="G116"/>
  <c r="F116"/>
  <c r="E116"/>
  <c r="J115"/>
  <c r="I115"/>
  <c r="H115"/>
  <c r="G115"/>
  <c r="F115"/>
  <c r="E115"/>
  <c r="H114"/>
  <c r="G114"/>
  <c r="F114"/>
  <c r="E114"/>
  <c r="J113"/>
  <c r="I113"/>
  <c r="H113"/>
  <c r="G113"/>
  <c r="F113"/>
  <c r="E113"/>
  <c r="J112"/>
  <c r="I112"/>
  <c r="H112"/>
  <c r="G112"/>
  <c r="F112"/>
  <c r="E112"/>
  <c r="J111"/>
  <c r="I111"/>
  <c r="H111"/>
  <c r="G111"/>
  <c r="F111"/>
  <c r="E111"/>
  <c r="J110"/>
  <c r="I110"/>
  <c r="H110"/>
  <c r="G110"/>
  <c r="F110"/>
  <c r="E110"/>
  <c r="J109"/>
  <c r="I109"/>
  <c r="H109"/>
  <c r="G109"/>
  <c r="F109"/>
  <c r="E109"/>
  <c r="J108"/>
  <c r="I108"/>
  <c r="H108"/>
  <c r="G108"/>
  <c r="F108"/>
  <c r="E108"/>
  <c r="J107"/>
  <c r="I107"/>
  <c r="H107"/>
  <c r="G107"/>
  <c r="F107"/>
  <c r="E107"/>
  <c r="J106"/>
  <c r="I106"/>
  <c r="H106"/>
  <c r="G106"/>
  <c r="F106"/>
  <c r="E106"/>
  <c r="J105"/>
  <c r="I105"/>
  <c r="H105"/>
  <c r="G105"/>
  <c r="F105"/>
  <c r="E105"/>
  <c r="G104"/>
  <c r="F104"/>
  <c r="E104"/>
  <c r="J103"/>
  <c r="I103"/>
  <c r="H103"/>
  <c r="G103"/>
  <c r="F103"/>
  <c r="E103"/>
  <c r="G102"/>
  <c r="F102"/>
  <c r="E102"/>
  <c r="J101"/>
  <c r="I101"/>
  <c r="H101"/>
  <c r="G101"/>
  <c r="F101"/>
  <c r="E101"/>
  <c r="H100"/>
  <c r="G100"/>
  <c r="F100"/>
  <c r="E100"/>
  <c r="J99"/>
  <c r="I99"/>
  <c r="H99"/>
  <c r="G99"/>
  <c r="F99"/>
  <c r="E99"/>
  <c r="H98"/>
  <c r="G98"/>
  <c r="F98"/>
  <c r="E98"/>
  <c r="J97"/>
  <c r="I97"/>
  <c r="H97"/>
  <c r="G97"/>
  <c r="F97"/>
  <c r="E97"/>
  <c r="H96"/>
  <c r="G96"/>
  <c r="F96"/>
  <c r="E96"/>
  <c r="J95"/>
  <c r="I95"/>
  <c r="H95"/>
  <c r="G95"/>
  <c r="F95"/>
  <c r="E95"/>
  <c r="G94"/>
  <c r="F94"/>
  <c r="E94"/>
  <c r="J93"/>
  <c r="I93"/>
  <c r="H93"/>
  <c r="G93"/>
  <c r="F93"/>
  <c r="E93"/>
  <c r="H92"/>
  <c r="G92"/>
  <c r="F92"/>
  <c r="E92"/>
  <c r="J91"/>
  <c r="I91"/>
  <c r="H91"/>
  <c r="G91"/>
  <c r="F91"/>
  <c r="E91"/>
  <c r="J90"/>
  <c r="I90"/>
  <c r="H90"/>
  <c r="G90"/>
  <c r="F90"/>
  <c r="E90"/>
  <c r="J89"/>
  <c r="I89"/>
  <c r="H89"/>
  <c r="G89"/>
  <c r="F89"/>
  <c r="E89"/>
  <c r="J88"/>
  <c r="I88"/>
  <c r="H88"/>
  <c r="G88"/>
  <c r="F88"/>
  <c r="E88"/>
  <c r="H87"/>
  <c r="G87"/>
  <c r="F87"/>
  <c r="E87"/>
  <c r="J86"/>
  <c r="I86"/>
  <c r="H86"/>
  <c r="G86"/>
  <c r="F86"/>
  <c r="E86"/>
  <c r="J85"/>
  <c r="I85"/>
  <c r="H85"/>
  <c r="G85"/>
  <c r="F85"/>
  <c r="E85"/>
  <c r="J84"/>
  <c r="I84"/>
  <c r="H84"/>
  <c r="G84"/>
  <c r="F84"/>
  <c r="E84"/>
  <c r="J83"/>
  <c r="I83"/>
  <c r="H83"/>
  <c r="G83"/>
  <c r="F83"/>
  <c r="E83"/>
  <c r="J82"/>
  <c r="I82"/>
  <c r="H82"/>
  <c r="G82"/>
  <c r="F82"/>
  <c r="E82"/>
  <c r="J81"/>
  <c r="I81"/>
  <c r="H81"/>
  <c r="G81"/>
  <c r="F81"/>
  <c r="E81"/>
  <c r="J80"/>
  <c r="I80"/>
  <c r="H80"/>
  <c r="G80"/>
  <c r="F80"/>
  <c r="E80"/>
  <c r="J79"/>
  <c r="I79"/>
  <c r="H79"/>
  <c r="G79"/>
  <c r="F79"/>
  <c r="E79"/>
  <c r="J78"/>
  <c r="I78"/>
  <c r="H78"/>
  <c r="G78"/>
  <c r="F78"/>
  <c r="E78"/>
  <c r="J77"/>
  <c r="I77"/>
  <c r="H77"/>
  <c r="G77"/>
  <c r="F77"/>
  <c r="E77"/>
  <c r="J76"/>
  <c r="I76"/>
  <c r="H76"/>
  <c r="G76"/>
  <c r="F76"/>
  <c r="E76"/>
  <c r="J75"/>
  <c r="I75"/>
  <c r="H75"/>
  <c r="G75"/>
  <c r="F75"/>
  <c r="E75"/>
  <c r="J74"/>
  <c r="I74"/>
  <c r="H74"/>
  <c r="G74"/>
  <c r="F74"/>
  <c r="E74"/>
  <c r="H73"/>
  <c r="G73"/>
  <c r="F73"/>
  <c r="E73"/>
  <c r="H72"/>
  <c r="G72"/>
  <c r="F72"/>
  <c r="E72"/>
  <c r="J71"/>
  <c r="I71"/>
  <c r="H71"/>
  <c r="G71"/>
  <c r="F71"/>
  <c r="E71"/>
  <c r="H70"/>
  <c r="G70"/>
  <c r="F70"/>
  <c r="E70"/>
  <c r="J69"/>
  <c r="I69"/>
  <c r="H69"/>
  <c r="G69"/>
  <c r="F69"/>
  <c r="E69"/>
  <c r="J68"/>
  <c r="I68"/>
  <c r="H68"/>
  <c r="G68"/>
  <c r="F68"/>
  <c r="E68"/>
  <c r="J67"/>
  <c r="I67"/>
  <c r="H67"/>
  <c r="G67"/>
  <c r="F67"/>
  <c r="E67"/>
  <c r="J66"/>
  <c r="I66"/>
  <c r="H66"/>
  <c r="G66"/>
  <c r="F66"/>
  <c r="E66"/>
  <c r="J65"/>
  <c r="I65"/>
  <c r="H65"/>
  <c r="G65"/>
  <c r="F65"/>
  <c r="E65"/>
  <c r="J64"/>
  <c r="I64"/>
  <c r="H64"/>
  <c r="G64"/>
  <c r="F64"/>
  <c r="E64"/>
  <c r="J63"/>
  <c r="I63"/>
  <c r="H63"/>
  <c r="G63"/>
  <c r="F63"/>
  <c r="E63"/>
  <c r="J62"/>
  <c r="I62"/>
  <c r="H62"/>
  <c r="G62"/>
  <c r="F62"/>
  <c r="E62"/>
  <c r="J61"/>
  <c r="I61"/>
  <c r="H61"/>
  <c r="G61"/>
  <c r="F61"/>
  <c r="E61"/>
  <c r="J60"/>
  <c r="I60"/>
  <c r="H60"/>
  <c r="G60"/>
  <c r="F60"/>
  <c r="E60"/>
  <c r="J59"/>
  <c r="I59"/>
  <c r="H59"/>
  <c r="G59"/>
  <c r="F59"/>
  <c r="E59"/>
  <c r="J58"/>
  <c r="I58"/>
  <c r="H58"/>
  <c r="G58"/>
  <c r="F58"/>
  <c r="E58"/>
  <c r="H57"/>
  <c r="G57"/>
  <c r="F57"/>
  <c r="E57"/>
  <c r="J56"/>
  <c r="I56"/>
  <c r="H56"/>
  <c r="G56"/>
  <c r="F56"/>
  <c r="E56"/>
  <c r="J55"/>
  <c r="I55"/>
  <c r="H55"/>
  <c r="G55"/>
  <c r="F55"/>
  <c r="E55"/>
  <c r="J54"/>
  <c r="I54"/>
  <c r="H54"/>
  <c r="G54"/>
  <c r="F54"/>
  <c r="E54"/>
  <c r="G53"/>
  <c r="F53"/>
  <c r="E53"/>
  <c r="H52"/>
  <c r="G52"/>
  <c r="F52"/>
  <c r="E52"/>
  <c r="J51"/>
  <c r="I51"/>
  <c r="H51"/>
  <c r="G51"/>
  <c r="F51"/>
  <c r="E51"/>
  <c r="J50"/>
  <c r="I50"/>
  <c r="H50"/>
  <c r="G50"/>
  <c r="F50"/>
  <c r="E50"/>
  <c r="H49"/>
  <c r="G49"/>
  <c r="F49"/>
  <c r="E49"/>
  <c r="J48"/>
  <c r="I48"/>
  <c r="H48"/>
  <c r="G48"/>
  <c r="F48"/>
  <c r="E48"/>
  <c r="J47"/>
  <c r="I47"/>
  <c r="H47"/>
  <c r="G47"/>
  <c r="F47"/>
  <c r="E47"/>
  <c r="J46"/>
  <c r="I46"/>
  <c r="H46"/>
  <c r="G46"/>
  <c r="F46"/>
  <c r="E46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H40"/>
  <c r="G40"/>
  <c r="F40"/>
  <c r="E40"/>
  <c r="H39"/>
  <c r="G39"/>
  <c r="F39"/>
  <c r="E39"/>
  <c r="H38"/>
  <c r="G38"/>
  <c r="F38"/>
  <c r="E38"/>
  <c r="J37"/>
  <c r="I37"/>
  <c r="H37"/>
  <c r="G37"/>
  <c r="F37"/>
  <c r="E37"/>
  <c r="J36"/>
  <c r="I36"/>
  <c r="H36"/>
  <c r="G36"/>
  <c r="F36"/>
  <c r="E36"/>
  <c r="H35"/>
  <c r="G35"/>
  <c r="F35"/>
  <c r="E35"/>
  <c r="H34"/>
  <c r="G34"/>
  <c r="F34"/>
  <c r="E34"/>
  <c r="J33"/>
  <c r="I33"/>
  <c r="H33"/>
  <c r="G33"/>
  <c r="F33"/>
  <c r="E33"/>
  <c r="J32"/>
  <c r="I32"/>
  <c r="H32"/>
  <c r="G32"/>
  <c r="F32"/>
  <c r="E32"/>
  <c r="H31"/>
  <c r="G31"/>
  <c r="F31"/>
  <c r="E31"/>
  <c r="J30"/>
  <c r="I30"/>
  <c r="H30"/>
  <c r="G30"/>
  <c r="F30"/>
  <c r="E30"/>
  <c r="J29"/>
  <c r="I29"/>
  <c r="H29"/>
  <c r="G29"/>
  <c r="F29"/>
  <c r="E29"/>
  <c r="J28"/>
  <c r="I28"/>
  <c r="H28"/>
  <c r="G28"/>
  <c r="F28"/>
  <c r="E28"/>
  <c r="J27"/>
  <c r="I27"/>
  <c r="H27"/>
  <c r="G27"/>
  <c r="F27"/>
  <c r="E27"/>
  <c r="J26"/>
  <c r="I26"/>
  <c r="H26"/>
  <c r="G26"/>
  <c r="F26"/>
  <c r="E26"/>
  <c r="H25"/>
  <c r="G25"/>
  <c r="F25"/>
  <c r="E25"/>
  <c r="H24"/>
  <c r="G24"/>
  <c r="F24"/>
  <c r="E24"/>
  <c r="J23"/>
  <c r="I23"/>
  <c r="H23"/>
  <c r="G23"/>
  <c r="F23"/>
  <c r="E23"/>
  <c r="J22"/>
  <c r="I22"/>
  <c r="H22"/>
  <c r="G22"/>
  <c r="F22"/>
  <c r="E22"/>
  <c r="H21"/>
  <c r="G21"/>
  <c r="F21"/>
  <c r="E21"/>
  <c r="J20"/>
  <c r="I20"/>
  <c r="H20"/>
  <c r="G20"/>
  <c r="F20"/>
  <c r="E20"/>
  <c r="H19"/>
  <c r="G19"/>
  <c r="F19"/>
  <c r="E19"/>
  <c r="J18"/>
  <c r="I18"/>
  <c r="H18"/>
  <c r="G18"/>
  <c r="F18"/>
  <c r="E18"/>
  <c r="H17"/>
  <c r="G17"/>
  <c r="F17"/>
  <c r="E17"/>
  <c r="G16"/>
  <c r="F16"/>
  <c r="E16"/>
  <c r="J15"/>
  <c r="I15"/>
  <c r="H15"/>
  <c r="G15"/>
  <c r="F15"/>
  <c r="E15"/>
  <c r="J14"/>
  <c r="I14"/>
  <c r="H14"/>
  <c r="G14"/>
  <c r="F14"/>
  <c r="E14"/>
  <c r="H13"/>
  <c r="G13"/>
  <c r="F13"/>
  <c r="E13"/>
  <c r="J12"/>
  <c r="I12"/>
  <c r="H12"/>
  <c r="G12"/>
  <c r="F12"/>
  <c r="E12"/>
  <c r="J11"/>
  <c r="I11"/>
  <c r="H11"/>
  <c r="G11"/>
  <c r="F11"/>
  <c r="E11"/>
  <c r="J10"/>
  <c r="I10"/>
  <c r="H10"/>
  <c r="G10"/>
  <c r="F10"/>
  <c r="E10"/>
  <c r="J9"/>
  <c r="I9"/>
  <c r="H9"/>
  <c r="G9"/>
  <c r="F9"/>
  <c r="E9"/>
  <c r="J8"/>
  <c r="I8"/>
  <c r="H8"/>
  <c r="G8"/>
  <c r="F8"/>
  <c r="E8"/>
  <c r="J7"/>
  <c r="I7"/>
  <c r="H7"/>
  <c r="G7"/>
  <c r="F7"/>
  <c r="E7"/>
  <c r="J6"/>
  <c r="I6"/>
  <c r="H6"/>
  <c r="G6"/>
  <c r="F6"/>
  <c r="E6"/>
  <c r="J5"/>
  <c r="I5"/>
  <c r="H5"/>
  <c r="G5"/>
  <c r="F5"/>
  <c r="E5"/>
  <c r="J5" i="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6"/>
</calcChain>
</file>

<file path=xl/sharedStrings.xml><?xml version="1.0" encoding="utf-8"?>
<sst xmlns="http://schemas.openxmlformats.org/spreadsheetml/2006/main" count="3748" uniqueCount="2252">
  <si>
    <t>present in original GC analysis</t>
    <phoneticPr fontId="4" type="noConversion"/>
  </si>
  <si>
    <t>Matches Original GC analysis</t>
    <phoneticPr fontId="4" type="noConversion"/>
  </si>
  <si>
    <t>These represent genes up-regulated in GC-Bcell vs MZ B cell(to remove B cell marker type genes) and activated Mature  genes</t>
    <phoneticPr fontId="4" type="noConversion"/>
  </si>
  <si>
    <t>zinc finger, DHHC domain containing 2</t>
  </si>
  <si>
    <t>ATPase, class VI, type 11A</t>
  </si>
  <si>
    <t>protein kinase, cAMP dependent regulatory, type II alpha</t>
  </si>
  <si>
    <t>tumor necrosis factor (ligand) superfamily, member 9</t>
  </si>
  <si>
    <t>serine (or cysteine) peptidase inhibitor, clade B, member 6b</t>
  </si>
  <si>
    <t>Isca1</t>
  </si>
  <si>
    <t>iron-sulfur cluster assembly 1 homolog (S. cerevisiae)</t>
  </si>
  <si>
    <t>MGI:3648736</t>
  </si>
  <si>
    <t>Gm6455</t>
  </si>
  <si>
    <t>predicted gene 6455</t>
  </si>
  <si>
    <t>MGI:1913466</t>
  </si>
  <si>
    <t>Bsdc1</t>
  </si>
  <si>
    <t>BSD domain containing 1</t>
  </si>
  <si>
    <t>MGI:1917433</t>
  </si>
  <si>
    <t>Dzip3</t>
  </si>
  <si>
    <t>DAZ interacting protein 3, zinc finger</t>
  </si>
  <si>
    <t>MGI:1915723</t>
  </si>
  <si>
    <t>Mobkl1a</t>
  </si>
  <si>
    <t>MOB1, Mps One Binder kinase activator-like 1A (yeast)</t>
  </si>
  <si>
    <t>MGI:3645613</t>
  </si>
  <si>
    <t>Gm5665</t>
  </si>
  <si>
    <t>predicted gene 5665</t>
  </si>
  <si>
    <t>MGI:1923749</t>
  </si>
  <si>
    <t>PRKC, apoptosis, WT1, regulator</t>
  </si>
  <si>
    <t>sterol-C5-desaturase (fungal ERG3, delta-5-desaturase) homolog (S. cerevisae)</t>
  </si>
  <si>
    <t>solute carrier family 25, member 33</t>
  </si>
  <si>
    <t>actin related protein 2/3 complex, subunit 3</t>
  </si>
  <si>
    <t>cytochrome P450, family 20, subfamily A, polypeptide 1</t>
  </si>
  <si>
    <t>succinate-Coenzyme A ligase, GDP-forming, beta subunit</t>
  </si>
  <si>
    <t>lon peptidase 2, peroxisomal</t>
  </si>
  <si>
    <t>RuvB-like protein 2</t>
  </si>
  <si>
    <t>MGI:3036246</t>
  </si>
  <si>
    <t>Hfm1</t>
  </si>
  <si>
    <t>HFM1, ATP-dependent DNA helicase homolog (S. cerevisiae)</t>
  </si>
  <si>
    <t>MGI:1915913</t>
  </si>
  <si>
    <t>Slc25a25</t>
  </si>
  <si>
    <t>solute carrier family 25 (mitochondrial carrier, phosphate carrier), member 25</t>
  </si>
  <si>
    <t>MGI:1926218</t>
  </si>
  <si>
    <t>Cysltr1</t>
  </si>
  <si>
    <t>cysteinyl leukotriene receptor 1</t>
  </si>
  <si>
    <t>MGI:2674071</t>
  </si>
  <si>
    <t>Morn2</t>
  </si>
  <si>
    <t>MORN repeat containing 2</t>
  </si>
  <si>
    <t>family with sequence similarity 57, member A</t>
  </si>
  <si>
    <t>PTPRF interacting protein, binding protein 1 (liprin beta 1)</t>
  </si>
  <si>
    <t>transforming growth factor, beta 3</t>
  </si>
  <si>
    <t>zinc finger, DHHC domain containing 6</t>
  </si>
  <si>
    <t>amyloid beta precursor protein (cytoplasmic tail) binding protein 2</t>
  </si>
  <si>
    <t>MGI:2144041</t>
  </si>
  <si>
    <t>Wsb2</t>
  </si>
  <si>
    <t>WD repeat and SOCS box-containing 2</t>
  </si>
  <si>
    <t>MGI:1929706</t>
  </si>
  <si>
    <t>Ranbp17</t>
  </si>
  <si>
    <t>RAN binding protein 17</t>
  </si>
  <si>
    <t>MGI:107926</t>
  </si>
  <si>
    <t>Rock2</t>
  </si>
  <si>
    <t>Rho-associated coiled-coil containing protein kinase 2</t>
  </si>
  <si>
    <t>MGI:1932027</t>
  </si>
  <si>
    <t>family with sequence similarity 82, member A1</t>
  </si>
  <si>
    <t>MGI:99695</t>
  </si>
  <si>
    <t>Cttn</t>
  </si>
  <si>
    <t>cortactin</t>
  </si>
  <si>
    <t>MGI:1926179</t>
  </si>
  <si>
    <t>Polr3h</t>
  </si>
  <si>
    <t>polymerase (RNA) III (DNA directed) polypeptide H</t>
  </si>
  <si>
    <t>MGI:1918291</t>
  </si>
  <si>
    <t>Pcgf6</t>
  </si>
  <si>
    <t>polycomb group ring finger 6</t>
  </si>
  <si>
    <t>MGI:3525201</t>
  </si>
  <si>
    <t>Mdc1</t>
  </si>
  <si>
    <t>mediator of DNA damage checkpoint 1</t>
  </si>
  <si>
    <t>cDNA sequence BC106179</t>
  </si>
  <si>
    <t>MGI:1277988</t>
  </si>
  <si>
    <t>Uxt</t>
  </si>
  <si>
    <t>ubiquitously expressed transcript</t>
  </si>
  <si>
    <t>MGI:1930715</t>
  </si>
  <si>
    <t>Ube2d2</t>
  </si>
  <si>
    <t>ubiquitin-conjugating enzyme E2D 2</t>
  </si>
  <si>
    <t>MGI:1330300</t>
  </si>
  <si>
    <t>Dyrk3</t>
  </si>
  <si>
    <t>dual-specificity tyrosine-(Y)-phosphorylation regulated kinase 3</t>
  </si>
  <si>
    <t>MGI:1915853</t>
  </si>
  <si>
    <t>Pmvk</t>
  </si>
  <si>
    <t>phosphomevalonate kinase</t>
  </si>
  <si>
    <t>MGI:1341793</t>
  </si>
  <si>
    <t>Pbx2</t>
  </si>
  <si>
    <t>pre B-cell leukemia transcription factor 2</t>
  </si>
  <si>
    <t>MGI:1351471</t>
  </si>
  <si>
    <t>B9d1</t>
  </si>
  <si>
    <t>guanine nucleotide binding protein (G protein), gamma 12</t>
  </si>
  <si>
    <t>solute carrier family 4, sodium bicarbonate cotransporter, member 7</t>
  </si>
  <si>
    <t>Cbp/p300-interacting transactivator, with Glu/Asp-rich carboxy-terminal domain, 2</t>
  </si>
  <si>
    <t>nuclear factor, interleukin 3, regulated</t>
  </si>
  <si>
    <t>Sec24 related gene family, member A (S. cerevisiae)</t>
  </si>
  <si>
    <t>phosphofructokinase, platelet</t>
  </si>
  <si>
    <t>WAS/WASL interacting protein family, member 1</t>
  </si>
  <si>
    <t>MGI:88293</t>
  </si>
  <si>
    <t>Cacna1d</t>
  </si>
  <si>
    <t>calcium channel, voltage-dependent, L type, alpha 1D subunit</t>
  </si>
  <si>
    <t>MGI:3782655</t>
  </si>
  <si>
    <t>Gm4471</t>
  </si>
  <si>
    <t>predicted gene 4471</t>
  </si>
  <si>
    <t>MGI:104636</t>
  </si>
  <si>
    <t>Tle1</t>
  </si>
  <si>
    <t>transducin-like enhancer of split 1, homolog of Drosophila E(spl)</t>
  </si>
  <si>
    <t>MGI:1344037</t>
  </si>
  <si>
    <t>Rpgr</t>
  </si>
  <si>
    <t>retinitis pigmentosa GTPase regulator</t>
  </si>
  <si>
    <t>MGI:1914450</t>
  </si>
  <si>
    <t>Ccdc77</t>
  </si>
  <si>
    <t>engulfment and cell motility 1, ced-12 homolog (C. elegans)</t>
  </si>
  <si>
    <t>sodium channel, voltage-gated, type VIII, alpha</t>
  </si>
  <si>
    <t>actin, gamma, cytoplasmic 1</t>
  </si>
  <si>
    <t>peptidyl arginine deiminase, type II</t>
  </si>
  <si>
    <t>Trpm5</t>
  </si>
  <si>
    <t>transient receptor potential cation channel, subfamily M, member 5</t>
  </si>
  <si>
    <t>MGI:1889508</t>
  </si>
  <si>
    <t>Tbc1d1</t>
  </si>
  <si>
    <t>MGI:1917802</t>
  </si>
  <si>
    <t>Lrrc56</t>
  </si>
  <si>
    <t>leucine rich repeat containing 56</t>
  </si>
  <si>
    <t>MGI:1933277</t>
  </si>
  <si>
    <t>Gtf2a1</t>
  </si>
  <si>
    <t>general transcription factor II A, 1</t>
  </si>
  <si>
    <t>MGI:1353497</t>
  </si>
  <si>
    <t>Slc25a10</t>
  </si>
  <si>
    <t>discs, large homolog 5 (Drosophila)</t>
  </si>
  <si>
    <t>Slx4</t>
  </si>
  <si>
    <t>SLX4 structure-specific endonuclease subunit homolog (S. cerevisiae)</t>
  </si>
  <si>
    <t>MGI:1891468</t>
  </si>
  <si>
    <t>Lgr4</t>
  </si>
  <si>
    <t>leucine-rich repeat-containing G protein-coupled receptor 4</t>
  </si>
  <si>
    <t>MGI:2147914</t>
  </si>
  <si>
    <t>Nxt2</t>
  </si>
  <si>
    <t>nuclear transport factor 2-like export factor 2</t>
  </si>
  <si>
    <t>MGI:1916296</t>
  </si>
  <si>
    <t>MGI:1922665</t>
  </si>
  <si>
    <t>Arhgap12</t>
  </si>
  <si>
    <t>Rho GTPase activating protein 12</t>
  </si>
  <si>
    <t>MGI:1920232</t>
  </si>
  <si>
    <t>Tmem138</t>
  </si>
  <si>
    <t>transmembrane protein 138</t>
  </si>
  <si>
    <t>MGI:1096551</t>
  </si>
  <si>
    <t>Morf4l1</t>
  </si>
  <si>
    <t>mortality factor 4 like 1</t>
  </si>
  <si>
    <t>MGI:1921898</t>
  </si>
  <si>
    <t>S100pbp</t>
  </si>
  <si>
    <t>S100P binding protein</t>
  </si>
  <si>
    <t>MGI:1917172</t>
  </si>
  <si>
    <t>Vrk2</t>
  </si>
  <si>
    <t>vaccinia related kinase 2</t>
  </si>
  <si>
    <t>MGI:1919064</t>
  </si>
  <si>
    <t>Mrps27</t>
  </si>
  <si>
    <t>mitochondrial ribosomal protein S27</t>
  </si>
  <si>
    <t>MGI:1928760</t>
  </si>
  <si>
    <t>Ruvbl1</t>
  </si>
  <si>
    <t>Clasp2</t>
  </si>
  <si>
    <t>CLIP associating protein 2</t>
  </si>
  <si>
    <t>MGI:109327</t>
  </si>
  <si>
    <t>Bnip2</t>
  </si>
  <si>
    <t>BCL2/adenovirus E1B interacting protein 2</t>
  </si>
  <si>
    <t>MGI:1336170</t>
  </si>
  <si>
    <t>Mybpc2</t>
  </si>
  <si>
    <t>myosin binding protein C, fast-type</t>
  </si>
  <si>
    <t>MGI:2135885</t>
  </si>
  <si>
    <t>Entpd7</t>
  </si>
  <si>
    <t>ectonucleoside triphosphate diphosphohydrolase 7</t>
  </si>
  <si>
    <t>MGI:1914378</t>
  </si>
  <si>
    <t>Ube2g1</t>
  </si>
  <si>
    <t>ubiquitin-conjugating enzyme E2G 1 (UBC7 homolog, C. elegans)</t>
  </si>
  <si>
    <t>MGI:1342299</t>
  </si>
  <si>
    <t>Ruvbl2</t>
  </si>
  <si>
    <t>mitogen-activated protein kinase 11</t>
  </si>
  <si>
    <t>MGI:1929699</t>
  </si>
  <si>
    <t>Arl3</t>
  </si>
  <si>
    <t>ADP-ribosylation factor-like 3</t>
  </si>
  <si>
    <t>MGI:1921489</t>
  </si>
  <si>
    <t>Iqce</t>
  </si>
  <si>
    <t>IQ motif containing E</t>
  </si>
  <si>
    <t>MGI:1933244</t>
  </si>
  <si>
    <t>Tktl1</t>
  </si>
  <si>
    <t>transketolase-like 1</t>
  </si>
  <si>
    <t>MGI:1914245</t>
  </si>
  <si>
    <t>Zcchc18</t>
  </si>
  <si>
    <t>zinc finger, CCHC domain containing 18</t>
  </si>
  <si>
    <t>MGI:1917029</t>
  </si>
  <si>
    <t>Pphln1</t>
  </si>
  <si>
    <t>periphilin 1</t>
  </si>
  <si>
    <t>MGI:2442675</t>
  </si>
  <si>
    <t>Rfx7</t>
  </si>
  <si>
    <t>MGI:1096324</t>
  </si>
  <si>
    <t>Lst1</t>
  </si>
  <si>
    <t>leukocyte specific transcript 1</t>
  </si>
  <si>
    <t>MGI:1353654</t>
  </si>
  <si>
    <t>Vps26a</t>
  </si>
  <si>
    <t>vacuolar protein sorting 26 homolog A (yeast)</t>
  </si>
  <si>
    <t>MGI:1914134</t>
  </si>
  <si>
    <t>Appbp2</t>
  </si>
  <si>
    <t>REV3-like, catalytic subunit of DNA polymerase zeta RAD54 like (S. cerevisiae)</t>
  </si>
  <si>
    <t>MGI:3649777</t>
  </si>
  <si>
    <t>Gm11821</t>
  </si>
  <si>
    <t>predicted gene 11821</t>
  </si>
  <si>
    <t>MGI:1927167</t>
  </si>
  <si>
    <t>Morf4l2</t>
  </si>
  <si>
    <t>mortality factor 4 like 2</t>
  </si>
  <si>
    <t>MGI:1859016</t>
  </si>
  <si>
    <t>Ddah2</t>
  </si>
  <si>
    <t>dimethylarginine dimethylaminohydrolase 2</t>
  </si>
  <si>
    <t>MGI:1930128</t>
  </si>
  <si>
    <t>Zc3h8</t>
  </si>
  <si>
    <t>zinc finger CCCH type containing 8</t>
  </si>
  <si>
    <t>Btnl3</t>
  </si>
  <si>
    <t>butyrophilin-like 3</t>
  </si>
  <si>
    <t>Mtap2</t>
  </si>
  <si>
    <t>microtubule-associated protein 2</t>
  </si>
  <si>
    <t>MGI:1919784</t>
  </si>
  <si>
    <t>Rcc2</t>
  </si>
  <si>
    <t>regulator of chromosome condensation 2</t>
  </si>
  <si>
    <t>MGI:2443272</t>
  </si>
  <si>
    <t>B230354K17Rik</t>
  </si>
  <si>
    <t>RIKEN cDNA B230354K17 gene</t>
  </si>
  <si>
    <t>MGI:3702726</t>
  </si>
  <si>
    <t>BC106179</t>
  </si>
  <si>
    <t>Hapln1</t>
  </si>
  <si>
    <t>hyaluronan and proteoglycan link protein 1</t>
  </si>
  <si>
    <t>MGI:1919051</t>
  </si>
  <si>
    <t>Plekhf2</t>
  </si>
  <si>
    <t>pleckstrin homology domain containing, family F (with FYVE domain) member 2</t>
  </si>
  <si>
    <t>MGI:1891254</t>
  </si>
  <si>
    <t>Bag2</t>
  </si>
  <si>
    <t>BCL2-associated athanogene 2</t>
  </si>
  <si>
    <t>MGI:2151071</t>
  </si>
  <si>
    <t>C1galt1</t>
  </si>
  <si>
    <t>core 1 synthase, glycoprotein-N-acetylgalactosamine 3-beta-galactosyltransferase, 1</t>
  </si>
  <si>
    <t>MGI:1922466</t>
  </si>
  <si>
    <t>4930534B04Rik</t>
  </si>
  <si>
    <t>RIKEN cDNA 4930534B04 gene</t>
  </si>
  <si>
    <t>B9 protein domain 1</t>
  </si>
  <si>
    <t>MGI:1924817</t>
  </si>
  <si>
    <t>Tram2</t>
  </si>
  <si>
    <t>translocating chain-associating membrane protein 2</t>
  </si>
  <si>
    <t>MGI:1194909</t>
  </si>
  <si>
    <t>Rsph1</t>
  </si>
  <si>
    <t>radial spoke head 1 homolog (Chlamydomonas)</t>
  </si>
  <si>
    <t>MGI:94907</t>
  </si>
  <si>
    <t>Dmwd</t>
  </si>
  <si>
    <t>dystrophia myotonica-containing WD repeat motif</t>
  </si>
  <si>
    <t>MGI:2681865</t>
  </si>
  <si>
    <t>Zfat</t>
  </si>
  <si>
    <t>zinc finger and AT hook domain containing</t>
  </si>
  <si>
    <t>MGI:1860276</t>
  </si>
  <si>
    <t>Ubqln1</t>
  </si>
  <si>
    <t>ubiquilin 1</t>
  </si>
  <si>
    <t>atlastin GTPase 2</t>
  </si>
  <si>
    <t>MGI:2443818</t>
  </si>
  <si>
    <t>Arhgap29</t>
  </si>
  <si>
    <t>Rho GTPase activating protein 29</t>
  </si>
  <si>
    <t>MGI:2385328</t>
  </si>
  <si>
    <t>Wdr78</t>
  </si>
  <si>
    <t>WD repeat domain 78</t>
  </si>
  <si>
    <t>MGI:1345149</t>
  </si>
  <si>
    <t>Scn11a</t>
  </si>
  <si>
    <t>sodium channel, voltage-gated, type XI, alpha</t>
  </si>
  <si>
    <t>MGI:98510</t>
  </si>
  <si>
    <t>Tcf3</t>
  </si>
  <si>
    <t>transcription factor 3</t>
  </si>
  <si>
    <t>MGI:2683538</t>
  </si>
  <si>
    <t>Lyrm4</t>
  </si>
  <si>
    <t>LYR motif containing 4</t>
  </si>
  <si>
    <t>MGI:3641695</t>
  </si>
  <si>
    <t>coiled-coil domain containing 77</t>
  </si>
  <si>
    <t>MGI:3577015</t>
  </si>
  <si>
    <t>Fam105b</t>
  </si>
  <si>
    <t>family with sequence similarity 105, member B</t>
  </si>
  <si>
    <t>MGI:1341870</t>
  </si>
  <si>
    <t>Stk11</t>
  </si>
  <si>
    <t>serine/threonine kinase 11</t>
  </si>
  <si>
    <t>MGI:1861718</t>
  </si>
  <si>
    <t>MGI:1354367</t>
  </si>
  <si>
    <t>Mrps7</t>
  </si>
  <si>
    <t>mitchondrial ribosomal protein S7</t>
  </si>
  <si>
    <t>MGI:2443990</t>
  </si>
  <si>
    <t>Fam20b</t>
  </si>
  <si>
    <t>MGI:2176433</t>
  </si>
  <si>
    <t>Bmf</t>
  </si>
  <si>
    <t>BCL2 modifying factor</t>
  </si>
  <si>
    <t>MGI:1923097</t>
  </si>
  <si>
    <t>Ispd</t>
  </si>
  <si>
    <t>isoprenoid synthase domain containing</t>
  </si>
  <si>
    <t>MGI:1915312</t>
  </si>
  <si>
    <t>Btf3l4</t>
  </si>
  <si>
    <t>basic transcription factor 3-like 4</t>
  </si>
  <si>
    <t>MGI:1891420</t>
  </si>
  <si>
    <t>Mesdc1</t>
  </si>
  <si>
    <t>solute carrier family 25 (mitochondrial carrier, dicarboxylate transporter), member 10</t>
  </si>
  <si>
    <t>MGI:106299</t>
  </si>
  <si>
    <t>MGI:1923784</t>
  </si>
  <si>
    <t>Osbpl9</t>
  </si>
  <si>
    <t>oxysterol binding protein-like 9</t>
  </si>
  <si>
    <t>MGI:1888697</t>
  </si>
  <si>
    <t>Taf9</t>
  </si>
  <si>
    <t>TAF9 RNA polymerase II, TATA box binding protein (TBP)-associated factor</t>
  </si>
  <si>
    <t>MGI:1914181</t>
  </si>
  <si>
    <t>1700010I14Rik</t>
  </si>
  <si>
    <t>RIKEN cDNA 1700010I14 gene</t>
  </si>
  <si>
    <t>MGI:1929721</t>
  </si>
  <si>
    <t>Rrs1</t>
  </si>
  <si>
    <t>RRS1 ribosome biogenesis regulator homolog (S. cerevisiae)</t>
  </si>
  <si>
    <t>MGI:1925906</t>
  </si>
  <si>
    <t>Brd8</t>
  </si>
  <si>
    <t>bromodomain containing 8</t>
  </si>
  <si>
    <t>MGI:1916231</t>
  </si>
  <si>
    <t>Snrpa1</t>
  </si>
  <si>
    <t>small nuclear ribonucleoprotein polypeptide A'</t>
  </si>
  <si>
    <t>MGI:2685391</t>
  </si>
  <si>
    <t>Usp49</t>
  </si>
  <si>
    <t>ubiquitin specific peptidase 49</t>
  </si>
  <si>
    <t>MGI:109501</t>
  </si>
  <si>
    <t>Crat</t>
  </si>
  <si>
    <t>carnitine acetyltransferase</t>
  </si>
  <si>
    <t>RuvB-like protein 1</t>
  </si>
  <si>
    <t>MGI:95805</t>
  </si>
  <si>
    <t>Grb2</t>
  </si>
  <si>
    <t>growth factor receptor bound protein 2</t>
  </si>
  <si>
    <t>MGI:109297</t>
  </si>
  <si>
    <t>Slpi</t>
  </si>
  <si>
    <t>secretory leukocyte peptidase inhibitor</t>
  </si>
  <si>
    <t>MGI:1196389</t>
  </si>
  <si>
    <t>Polg</t>
  </si>
  <si>
    <t>polymerase (DNA directed), gamma</t>
  </si>
  <si>
    <t>MGI:2137357</t>
  </si>
  <si>
    <t>Trim33</t>
  </si>
  <si>
    <t>tripartite motif-containing 33</t>
  </si>
  <si>
    <t>MGI:1346042</t>
  </si>
  <si>
    <t>Mgll</t>
  </si>
  <si>
    <t>monoglyceride lipase</t>
  </si>
  <si>
    <t>MGI:1338024</t>
  </si>
  <si>
    <t>Mapk11</t>
  </si>
  <si>
    <t>centrosome and spindle pole associated protein 1</t>
  </si>
  <si>
    <t>MGI:1338779</t>
  </si>
  <si>
    <t>Purb</t>
  </si>
  <si>
    <t>purine rich element binding protein B</t>
  </si>
  <si>
    <t>MGI:102581</t>
  </si>
  <si>
    <t>Rdh11</t>
  </si>
  <si>
    <t>retinol dehydrogenase 11</t>
  </si>
  <si>
    <t>MGI:1342292</t>
  </si>
  <si>
    <t>Hspa4</t>
  </si>
  <si>
    <t>heat shock protein 4</t>
  </si>
  <si>
    <t>MGI:1914500</t>
  </si>
  <si>
    <t>Ube2l6</t>
  </si>
  <si>
    <t>ubiquitin-conjugating enzyme E2L 6</t>
  </si>
  <si>
    <t>MGI:4439634</t>
  </si>
  <si>
    <t>Gm16710</t>
  </si>
  <si>
    <t>regulatory factor X, 7</t>
  </si>
  <si>
    <t>MGI:3641777</t>
  </si>
  <si>
    <t>Gm10388</t>
  </si>
  <si>
    <t>predicted gene 10388</t>
  </si>
  <si>
    <t>MGI:2442505</t>
  </si>
  <si>
    <t>Zfp664</t>
  </si>
  <si>
    <t>zinc finger protein 664</t>
  </si>
  <si>
    <t>MGI:1337131</t>
  </si>
  <si>
    <t>Rev3l</t>
  </si>
  <si>
    <t>golgi associated PDZ and coiled-coil motif containing</t>
  </si>
  <si>
    <t>MGI:2448759</t>
  </si>
  <si>
    <t>Cdv3</t>
  </si>
  <si>
    <t>carnitine deficiency-associated gene expressed in ventricle 3</t>
  </si>
  <si>
    <t>MGI:1341903</t>
  </si>
  <si>
    <t>Slc23a1</t>
  </si>
  <si>
    <t>solute carrier family 23 (nucleobase transporters), member 1</t>
  </si>
  <si>
    <t>MGI:2680765</t>
  </si>
  <si>
    <t>Hcrtr2</t>
  </si>
  <si>
    <t>hypocretin (orexin) receptor 2</t>
  </si>
  <si>
    <t>MGI:1333766</t>
  </si>
  <si>
    <t>MGI:2429611</t>
  </si>
  <si>
    <t>Nlrx1</t>
  </si>
  <si>
    <t>NLR family member X1</t>
  </si>
  <si>
    <t>MGI:1918995</t>
  </si>
  <si>
    <t>Cul2</t>
  </si>
  <si>
    <t>cullin 2</t>
  </si>
  <si>
    <t>MGI:97175</t>
  </si>
  <si>
    <t>E26 avian leukemia oncogene 2, 3' domain</t>
  </si>
  <si>
    <t>MGI:1891694</t>
  </si>
  <si>
    <t>Gkap1</t>
  </si>
  <si>
    <t>G kinase anchoring protein 1</t>
  </si>
  <si>
    <t>MGI:1341868</t>
  </si>
  <si>
    <t>Rfc2</t>
  </si>
  <si>
    <t>replication factor C (activator 1) 2</t>
  </si>
  <si>
    <t>MGI:1337006</t>
  </si>
  <si>
    <t>MGI:107671</t>
  </si>
  <si>
    <t>Gpm6a</t>
  </si>
  <si>
    <t>glycoprotein m6a</t>
  </si>
  <si>
    <t>MGI:98367</t>
  </si>
  <si>
    <t>Sox5</t>
  </si>
  <si>
    <t>SRY-box containing gene 5</t>
  </si>
  <si>
    <t>MGI:2384789</t>
  </si>
  <si>
    <t>Tmem63a</t>
  </si>
  <si>
    <t>transmembrane protein 63a</t>
  </si>
  <si>
    <t>MGI:1915551</t>
  </si>
  <si>
    <t>Cep57</t>
  </si>
  <si>
    <t>centrosomal protein 57</t>
  </si>
  <si>
    <t>MGI:1098242</t>
  </si>
  <si>
    <t>Bpgm</t>
  </si>
  <si>
    <t>2,3-bisphosphoglycerate mutase</t>
  </si>
  <si>
    <t>MGI:1927144</t>
  </si>
  <si>
    <t>Sav1</t>
  </si>
  <si>
    <t>salvador homolog 1 (Drosophila)</t>
  </si>
  <si>
    <t>MGI:1920223</t>
  </si>
  <si>
    <t>Fbxo47</t>
  </si>
  <si>
    <t>F-box protein 47</t>
  </si>
  <si>
    <t>MGI:1913464</t>
  </si>
  <si>
    <t>MGI:1888996</t>
  </si>
  <si>
    <t>Cd59b</t>
  </si>
  <si>
    <t>CD59b antigen</t>
  </si>
  <si>
    <t>MGI:2442317</t>
  </si>
  <si>
    <t>Mier3</t>
  </si>
  <si>
    <t>mesoderm induction early response 1, family member 3</t>
  </si>
  <si>
    <t>MGI:1927479</t>
  </si>
  <si>
    <t>Sap30bp</t>
  </si>
  <si>
    <t>SAP30 binding protein</t>
  </si>
  <si>
    <t>MGI:99845</t>
  </si>
  <si>
    <t>Gdi2</t>
  </si>
  <si>
    <t>guanosine diphosphate (GDP) dissociation inhibitor 2</t>
  </si>
  <si>
    <t>MGI:1352507</t>
  </si>
  <si>
    <t>Rabgap1l</t>
  </si>
  <si>
    <t>RAB GTPase activating protein 1-like</t>
  </si>
  <si>
    <t>MGI:1929492</t>
  </si>
  <si>
    <t>Atl2</t>
  </si>
  <si>
    <t>MGI:1917627</t>
  </si>
  <si>
    <t>Derl3</t>
  </si>
  <si>
    <t>Der1-like domain family, member 3</t>
  </si>
  <si>
    <t>MGI:1913600</t>
  </si>
  <si>
    <t>Pla2g12a</t>
  </si>
  <si>
    <t>phospholipase A2, group XIIA</t>
  </si>
  <si>
    <t>MGI:95401</t>
  </si>
  <si>
    <t>Epb4.1</t>
  </si>
  <si>
    <t>erythrocyte protein band 4.1</t>
  </si>
  <si>
    <t>MGI:1913930</t>
  </si>
  <si>
    <t>3230401D17Rik</t>
  </si>
  <si>
    <t>RIKEN cDNA 3230401D17 gene</t>
  </si>
  <si>
    <t>MGI:1333800</t>
  </si>
  <si>
    <t>Il18bp</t>
  </si>
  <si>
    <t>interleukin 18 binding protein</t>
  </si>
  <si>
    <t>MGI:1927406</t>
  </si>
  <si>
    <t>Herpud1</t>
  </si>
  <si>
    <t>Gm10088</t>
  </si>
  <si>
    <t>predicted gene 10088</t>
  </si>
  <si>
    <t>MGI:1914961</t>
  </si>
  <si>
    <t>Nsmce1</t>
  </si>
  <si>
    <t>non-SMC element 1 homolog (S. cerevisiae)</t>
  </si>
  <si>
    <t>MGI:1333807</t>
  </si>
  <si>
    <t>Rad17</t>
  </si>
  <si>
    <t>RAD17 homolog (S. pombe)</t>
  </si>
  <si>
    <t>RIKEN cDNA 1700084C01 gene</t>
  </si>
  <si>
    <t>MGI:1914736</t>
  </si>
  <si>
    <t>Polr3g</t>
  </si>
  <si>
    <t>polymerase (RNA) III (DNA directed) polypeptide G</t>
  </si>
  <si>
    <t>MGI:1921162</t>
  </si>
  <si>
    <t>4833439L19Rik</t>
  </si>
  <si>
    <t>RIKEN cDNA 4833439L19 gene</t>
  </si>
  <si>
    <t>MGI:107736</t>
  </si>
  <si>
    <t>Dync2h1</t>
  </si>
  <si>
    <t>dynein cytoplasmic 2 heavy chain 1</t>
  </si>
  <si>
    <t>MGI:1920185</t>
  </si>
  <si>
    <t>Ddx41</t>
  </si>
  <si>
    <t>mesoderm development candidate 1</t>
  </si>
  <si>
    <t>MGI:109450</t>
  </si>
  <si>
    <t>Frat1</t>
  </si>
  <si>
    <t>frequently rearranged in advanced T-cell lymphomas</t>
  </si>
  <si>
    <t>high mobility group nucleosomal binding domain 2</t>
  </si>
  <si>
    <t>MGI:103006</t>
  </si>
  <si>
    <t>Epb4.1l5</t>
  </si>
  <si>
    <t>erythrocyte protein band 4.1-like 5</t>
  </si>
  <si>
    <t>MGI:2156774</t>
  </si>
  <si>
    <t>Stard6</t>
  </si>
  <si>
    <t>StAR-related lipid transfer (START) domain containing 6</t>
  </si>
  <si>
    <t>mitogen-activated protein kinase kinase kinase 15</t>
  </si>
  <si>
    <t>MGI:2444636</t>
  </si>
  <si>
    <t>Adam6b</t>
  </si>
  <si>
    <t>a disintegrin and metallopeptidase domain 6B</t>
  </si>
  <si>
    <t>MGI:1918269</t>
  </si>
  <si>
    <t>Kctd1</t>
  </si>
  <si>
    <t>potassium channel tetramerisation domain containing 1</t>
  </si>
  <si>
    <t>MGI:2384924</t>
  </si>
  <si>
    <t>Ccm2</t>
  </si>
  <si>
    <t>cerebral cavernous malformation 2 homolog (human)</t>
  </si>
  <si>
    <t>MGI:3781945</t>
  </si>
  <si>
    <t>Gm3771</t>
  </si>
  <si>
    <t>predicted gene 3771</t>
  </si>
  <si>
    <t>MGI:104632</t>
  </si>
  <si>
    <t>Ube2h</t>
  </si>
  <si>
    <t>ubiquitin-conjugating enzyme E2H</t>
  </si>
  <si>
    <t>MGI:1277956</t>
  </si>
  <si>
    <t>Pycr2</t>
  </si>
  <si>
    <t>pyrroline-5-carboxylate reductase family, member 2</t>
  </si>
  <si>
    <t>MGI:2444593</t>
  </si>
  <si>
    <t>Pptc7</t>
  </si>
  <si>
    <t>PTC7 protein phosphatase homolog (S. cerevisiae)</t>
  </si>
  <si>
    <t>MGI:1919364</t>
  </si>
  <si>
    <t>Zbed3</t>
  </si>
  <si>
    <t>zinc finger, BED domain containing 3</t>
  </si>
  <si>
    <t>MGI:1930751</t>
  </si>
  <si>
    <t>Trpc4ap</t>
  </si>
  <si>
    <t>transient receptor potential cation channel, subfamily C, member 4 associated protein</t>
  </si>
  <si>
    <t>MGI:2681832</t>
  </si>
  <si>
    <t>Cspp1</t>
  </si>
  <si>
    <t>9430038I01Rik</t>
  </si>
  <si>
    <t>RIKEN cDNA 9430038I01 gene</t>
  </si>
  <si>
    <t>MGI:2385089</t>
  </si>
  <si>
    <t>Cbwd1</t>
  </si>
  <si>
    <t>COBW domain containing 1</t>
  </si>
  <si>
    <t>MGI:1919650</t>
  </si>
  <si>
    <t>Pinx1</t>
  </si>
  <si>
    <t>PIN2/TERF1 interacting, telomerase inhibitor 1</t>
  </si>
  <si>
    <t>MGI:3714114</t>
  </si>
  <si>
    <t>Gm14483</t>
  </si>
  <si>
    <t>predicted gene 14483</t>
  </si>
  <si>
    <t>MGI:1915229</t>
  </si>
  <si>
    <t>Atad1</t>
  </si>
  <si>
    <t>MGI:96416</t>
  </si>
  <si>
    <t>Ido1</t>
  </si>
  <si>
    <t>indoleamine 2,3-dioxygenase 1</t>
  </si>
  <si>
    <t>MGI:1196251</t>
  </si>
  <si>
    <t>Casz1</t>
  </si>
  <si>
    <t>castor homolog 1, zinc finger (Drosophila)</t>
  </si>
  <si>
    <t>MGI:1916198</t>
  </si>
  <si>
    <t>1500011H22Rik</t>
  </si>
  <si>
    <t>predicted gene, 16710</t>
  </si>
  <si>
    <t>MGI:1890396</t>
  </si>
  <si>
    <t>Suv39h2</t>
  </si>
  <si>
    <t>suppressor of variegation 3-9 homolog 2 (Drosophila)</t>
  </si>
  <si>
    <t>MGI:2149946</t>
  </si>
  <si>
    <t>Gopc</t>
  </si>
  <si>
    <t>phosphate cytidylyltransferase 1, choline, beta isoform</t>
  </si>
  <si>
    <t>MGI:1920036</t>
  </si>
  <si>
    <t>Tdp1</t>
  </si>
  <si>
    <t>tyrosyl-DNA phosphodiesterase 1</t>
  </si>
  <si>
    <t>MGI:2442620</t>
  </si>
  <si>
    <t>Nup133</t>
  </si>
  <si>
    <t>nucleoporin 133</t>
  </si>
  <si>
    <t>MGI:2441683</t>
  </si>
  <si>
    <t>Tlk1</t>
  </si>
  <si>
    <t>tousled-like kinase 1</t>
  </si>
  <si>
    <t>MGI:1196624</t>
  </si>
  <si>
    <t>Tcea1</t>
  </si>
  <si>
    <t>transcription elongation factor A (SII) 1</t>
  </si>
  <si>
    <t>Epn2</t>
  </si>
  <si>
    <t>epsin 2</t>
  </si>
  <si>
    <t>MGI:1335087</t>
  </si>
  <si>
    <t>Fem1b</t>
  </si>
  <si>
    <t>feminization 1 homolog b (C. elegans)</t>
  </si>
  <si>
    <t>MGI:95456</t>
  </si>
  <si>
    <t>Ets2</t>
  </si>
  <si>
    <t>MGI:1929475</t>
  </si>
  <si>
    <t>Irak1bp1</t>
  </si>
  <si>
    <t>interleukin-1 receptor-associated kinase 1 binding protein 1</t>
  </si>
  <si>
    <t>MGI:107893</t>
  </si>
  <si>
    <t>D6Wsu163e</t>
  </si>
  <si>
    <t>Srebf2</t>
  </si>
  <si>
    <t>sterol regulatory element binding factor 2</t>
  </si>
  <si>
    <t>MGI:97776</t>
  </si>
  <si>
    <t>Prps2</t>
  </si>
  <si>
    <t>phosphoribosyl pyrophosphate synthetase 2</t>
  </si>
  <si>
    <t>MGI:1920076</t>
  </si>
  <si>
    <t>Fam76b</t>
  </si>
  <si>
    <t>family with sequence similarity 76, member B</t>
  </si>
  <si>
    <t>MGI:1921932</t>
  </si>
  <si>
    <t>Wdr35</t>
  </si>
  <si>
    <t>WD repeat domain 35</t>
  </si>
  <si>
    <t>MGI:1328360</t>
  </si>
  <si>
    <t>Arid3a</t>
  </si>
  <si>
    <t>AT rich interactive domain 3A (BRIGHT-like)</t>
  </si>
  <si>
    <t>MGI:2449952</t>
  </si>
  <si>
    <t>Map3k9</t>
  </si>
  <si>
    <t>mitogen-activated protein kinase kinase kinase 9</t>
  </si>
  <si>
    <t>1190002H23Rik</t>
  </si>
  <si>
    <t>RIKEN cDNA 1190002H23 gene</t>
  </si>
  <si>
    <t>MGI:2182061</t>
  </si>
  <si>
    <t>Usp7</t>
  </si>
  <si>
    <t>ubiquitin specific peptidase 7</t>
  </si>
  <si>
    <t>MGI:1354742</t>
  </si>
  <si>
    <t>Synrg</t>
  </si>
  <si>
    <t>synergin, gamma</t>
  </si>
  <si>
    <t>MGI:1196260</t>
  </si>
  <si>
    <t>Hn1l</t>
  </si>
  <si>
    <t>hematological and neurological expressed 1-like</t>
  </si>
  <si>
    <t>MGI:95767</t>
  </si>
  <si>
    <t>Gna12</t>
  </si>
  <si>
    <t>guanine nucleotide binding protein, alpha 12</t>
  </si>
  <si>
    <t>MGI:1915476</t>
  </si>
  <si>
    <t>Efcab2</t>
  </si>
  <si>
    <t>EF-hand calcium binding domain 2</t>
  </si>
  <si>
    <t>MGI:1915291</t>
  </si>
  <si>
    <t>Mid1ip1</t>
  </si>
  <si>
    <t>Mid1 interacting protein 1 (gastrulation specific G12-like (zebrafish))</t>
  </si>
  <si>
    <t>MGI:2442867</t>
  </si>
  <si>
    <t>E030011O05Rik</t>
  </si>
  <si>
    <t>RIKEN cDNA E030011O05 gene</t>
  </si>
  <si>
    <t>MGI:103022</t>
  </si>
  <si>
    <t>Reln</t>
  </si>
  <si>
    <t>reelin</t>
  </si>
  <si>
    <t>MGI:96765</t>
  </si>
  <si>
    <t>Ldlr</t>
  </si>
  <si>
    <t>low density lipoprotein receptor</t>
  </si>
  <si>
    <t>MGI:1339968</t>
  </si>
  <si>
    <t>Cth</t>
  </si>
  <si>
    <t>cystathionase (cystathionine gamma-lyase)</t>
  </si>
  <si>
    <t>MGI:1344382</t>
  </si>
  <si>
    <t>Creg1</t>
  </si>
  <si>
    <t>cellular repressor of E1A-stimulated genes 1</t>
  </si>
  <si>
    <t>MGI:1858599</t>
  </si>
  <si>
    <t>Egfl6</t>
  </si>
  <si>
    <t>homocysteine-inducible, endoplasmic reticulum stress-inducible, ubiquitin-like domain member 1</t>
  </si>
  <si>
    <t>MGI:1277989</t>
  </si>
  <si>
    <t>Shmt2</t>
  </si>
  <si>
    <t>serine hydroxymethyltransferase 2 (mitochondrial)</t>
  </si>
  <si>
    <t>MGI:1925715</t>
  </si>
  <si>
    <t>1700084C01Rik</t>
  </si>
  <si>
    <t>predicted gene 6651</t>
  </si>
  <si>
    <t>MGI:894652</t>
  </si>
  <si>
    <t>Usp10</t>
  </si>
  <si>
    <t>ubiquitin specific peptidase 10</t>
  </si>
  <si>
    <t>MGI:1298381</t>
  </si>
  <si>
    <t>Ddt</t>
  </si>
  <si>
    <t>D-dopachrome tautomerase</t>
  </si>
  <si>
    <t>MGI:88527</t>
  </si>
  <si>
    <t>Cryz</t>
  </si>
  <si>
    <t>crystallin, zeta</t>
  </si>
  <si>
    <t>MGI:2139714</t>
  </si>
  <si>
    <t>Lphn2</t>
  </si>
  <si>
    <t>latrophilin 2</t>
  </si>
  <si>
    <t>MGI:1298231</t>
  </si>
  <si>
    <t>Tpst1</t>
  </si>
  <si>
    <t>DEAD (Asp-Glu-Ala-Asp) box polypeptide 41</t>
  </si>
  <si>
    <t>MGI:1099790</t>
  </si>
  <si>
    <t>Plk2</t>
  </si>
  <si>
    <t>polo-like kinase 2 (Drosophila)</t>
  </si>
  <si>
    <t>MGI:96136</t>
  </si>
  <si>
    <t>Hmgn2</t>
  </si>
  <si>
    <t>protein kinase D3</t>
  </si>
  <si>
    <t>MGI:2448588</t>
  </si>
  <si>
    <t>Map3k15</t>
  </si>
  <si>
    <t>6-phosphofructo-2-kinase/fructose-2,6-biphosphatase 1</t>
  </si>
  <si>
    <t>MGI:3701776</t>
  </si>
  <si>
    <t>Gm11696</t>
  </si>
  <si>
    <t>predicted gene 11696</t>
  </si>
  <si>
    <t>MGI:1917682</t>
  </si>
  <si>
    <t>Rufy2</t>
  </si>
  <si>
    <t>RUN and FYVE domain-containing 2</t>
  </si>
  <si>
    <t>MGI:1859169</t>
  </si>
  <si>
    <t>Azin1</t>
  </si>
  <si>
    <t>antizyme inhibitor 1</t>
  </si>
  <si>
    <t>MGI:104888</t>
  </si>
  <si>
    <t>Fdps</t>
  </si>
  <si>
    <t>farnesyl diphosphate synthetase</t>
  </si>
  <si>
    <t>MGI:1919373</t>
  </si>
  <si>
    <t>2010109K11Rik</t>
  </si>
  <si>
    <t>RIKEN cDNA 2010109K11 gene</t>
  </si>
  <si>
    <t>MGI:1918249</t>
  </si>
  <si>
    <t>Naa40</t>
  </si>
  <si>
    <t>MGI:104526</t>
  </si>
  <si>
    <t>Mef2b</t>
  </si>
  <si>
    <t>MGI:1923121</t>
  </si>
  <si>
    <t>Zfp821</t>
  </si>
  <si>
    <t>zinc finger protein 821</t>
  </si>
  <si>
    <t>MGI:3708112</t>
  </si>
  <si>
    <t>Hmgn2l6</t>
  </si>
  <si>
    <t>high-mobility group nucleosomal binding domain 2-like 6</t>
  </si>
  <si>
    <t>MGI:98822</t>
  </si>
  <si>
    <t>Tfrc</t>
  </si>
  <si>
    <t>transferrin receptor</t>
  </si>
  <si>
    <t>MGI:88192</t>
  </si>
  <si>
    <t>Smarca4</t>
  </si>
  <si>
    <t>SWI/SNF related, matrix associated, actin dependent regulator of chromatin, subfamily a, member 4</t>
  </si>
  <si>
    <t>MGI:1919834</t>
  </si>
  <si>
    <t>Cul4b</t>
  </si>
  <si>
    <t>cullin 4B</t>
  </si>
  <si>
    <t>MGI:1924502</t>
  </si>
  <si>
    <t>family with sequence similarity 135, member A</t>
  </si>
  <si>
    <t>MGI:1330808</t>
  </si>
  <si>
    <t>Hsd17b7</t>
  </si>
  <si>
    <t>hydroxysteroid (17-beta) dehydrogenase 7</t>
  </si>
  <si>
    <t>MGI:1333813</t>
  </si>
  <si>
    <t>Mbd2</t>
  </si>
  <si>
    <t>methyl-CpG binding domain protein 2</t>
  </si>
  <si>
    <t>MGI:2142610</t>
  </si>
  <si>
    <t>Snx25</t>
  </si>
  <si>
    <t>sorting nexin 25</t>
  </si>
  <si>
    <t>MGI:1923032</t>
  </si>
  <si>
    <t>Lca5</t>
  </si>
  <si>
    <t>Leber congenital amaurosis 5 (human)</t>
  </si>
  <si>
    <t>MGI:96216</t>
  </si>
  <si>
    <t>Lipc</t>
  </si>
  <si>
    <t>MGI:1352745</t>
  </si>
  <si>
    <t>Fscn1</t>
  </si>
  <si>
    <t>fascin homolog 1, actin bundling protein (Strongylocentrotus purpuratus)</t>
  </si>
  <si>
    <t>MGI:1889294</t>
  </si>
  <si>
    <t>Rbm38</t>
  </si>
  <si>
    <t>RIKEN cDNA 1500011H22 gene</t>
  </si>
  <si>
    <t>MGI:1917285</t>
  </si>
  <si>
    <t>Rab28</t>
  </si>
  <si>
    <t>RAB28, member RAS oncogene family</t>
  </si>
  <si>
    <t>MGI:1270153</t>
  </si>
  <si>
    <t>Zfp106</t>
  </si>
  <si>
    <t>zinc finger protein 106</t>
  </si>
  <si>
    <t>MGI:2147987</t>
  </si>
  <si>
    <t>Pcyt1b</t>
  </si>
  <si>
    <t>fibroblast growth factor 11</t>
  </si>
  <si>
    <t>MGI:1918492</t>
  </si>
  <si>
    <t>Spata24</t>
  </si>
  <si>
    <t>spermatogenesis associated 24</t>
  </si>
  <si>
    <t>MGI:1196337</t>
  </si>
  <si>
    <t>Brms1l</t>
  </si>
  <si>
    <t>breast cancer metastasis-suppressor 1-like</t>
  </si>
  <si>
    <t>MGI:1914353</t>
  </si>
  <si>
    <t>Ptgr1</t>
  </si>
  <si>
    <t>prostaglandin reductase 1</t>
  </si>
  <si>
    <t>MGI:2442595</t>
  </si>
  <si>
    <t>Slc36a4</t>
  </si>
  <si>
    <t>MGI:3780121</t>
  </si>
  <si>
    <t>Gm9713</t>
  </si>
  <si>
    <t>predicted gene 9713</t>
  </si>
  <si>
    <t>MGI:2441741</t>
  </si>
  <si>
    <t>Rapgef3</t>
  </si>
  <si>
    <t>Rap guanine nucleotide exchange factor (GEF) 3</t>
  </si>
  <si>
    <t>calcium channel, voltage-dependent, alpha 1I subunit</t>
  </si>
  <si>
    <t>MGI:107585</t>
  </si>
  <si>
    <t>MGI:2178051</t>
  </si>
  <si>
    <t>Cacna1i</t>
  </si>
  <si>
    <t>SR-related CTD-associated factor 11</t>
  </si>
  <si>
    <t>MGI:97550</t>
  </si>
  <si>
    <t>Pfn2</t>
  </si>
  <si>
    <t>profilin 2</t>
  </si>
  <si>
    <t>MGI:1922462</t>
  </si>
  <si>
    <t>Rnf121</t>
  </si>
  <si>
    <t>ring finger protein 121</t>
  </si>
  <si>
    <t>MGI:1920475</t>
  </si>
  <si>
    <t>Fam118a</t>
  </si>
  <si>
    <t>family with sequence similarity 118, member A</t>
  </si>
  <si>
    <t>MGI:1926245</t>
  </si>
  <si>
    <t>Ube2j1</t>
  </si>
  <si>
    <t>ubiquitin-conjugating enzyme E2, J1</t>
  </si>
  <si>
    <t>MGI:95780</t>
  </si>
  <si>
    <t>Gnaz</t>
  </si>
  <si>
    <t>guanine nucleotide binding protein, alpha z subunit</t>
  </si>
  <si>
    <t>MGI:1919905</t>
  </si>
  <si>
    <t>MGI:97267</t>
  </si>
  <si>
    <t>Myl4</t>
  </si>
  <si>
    <t>myosin, light polypeptide 4</t>
  </si>
  <si>
    <t>MGI:1914737</t>
  </si>
  <si>
    <t>Dhx40</t>
  </si>
  <si>
    <t>DEAH (Asp-Glu-Ala-His) box polypeptide 40</t>
  </si>
  <si>
    <t>MGI:2444486</t>
  </si>
  <si>
    <t>Tarsl2</t>
  </si>
  <si>
    <t>threonyl-tRNA synthetase-like 2</t>
  </si>
  <si>
    <t>MGI:99526</t>
  </si>
  <si>
    <t>Ddx19a</t>
  </si>
  <si>
    <t>DEAD (Asp-Glu-Ala-Asp) box polypeptide 19a</t>
  </si>
  <si>
    <t>MGI:108062</t>
  </si>
  <si>
    <t>Siah2</t>
  </si>
  <si>
    <t>seven in absentia 2</t>
  </si>
  <si>
    <t>MGI:3779834</t>
  </si>
  <si>
    <t>Gm9106</t>
  </si>
  <si>
    <t>predicted gene 9106</t>
  </si>
  <si>
    <t>echinoderm microtubule associated protein like 4</t>
  </si>
  <si>
    <t>MGI:1276523</t>
  </si>
  <si>
    <t>Ncoa1</t>
  </si>
  <si>
    <t>nuclear receptor coactivator 1</t>
  </si>
  <si>
    <t>MGI:2686516</t>
  </si>
  <si>
    <t>C030017K20Rik</t>
  </si>
  <si>
    <t>RIKEN cDNA C030017K20 gene</t>
  </si>
  <si>
    <t>MGI:1926144</t>
  </si>
  <si>
    <t>Aacs</t>
  </si>
  <si>
    <t>acetoacetyl-CoA synthetase</t>
  </si>
  <si>
    <t>MGI:1914492</t>
  </si>
  <si>
    <t>Gemin6</t>
  </si>
  <si>
    <t>gem (nuclear organelle) associated protein 6</t>
  </si>
  <si>
    <t>MGI:3040056</t>
  </si>
  <si>
    <t>Ticam2</t>
  </si>
  <si>
    <t>toll-like receptor adaptor molecule 2</t>
  </si>
  <si>
    <t>MGI:1913772</t>
  </si>
  <si>
    <t>Pgpep1</t>
  </si>
  <si>
    <t>pyroglutamyl-peptidase I</t>
  </si>
  <si>
    <t>MGI:1914751</t>
  </si>
  <si>
    <t>Ccdc50</t>
  </si>
  <si>
    <t>EGF-like-domain, multiple 6</t>
  </si>
  <si>
    <t>MGI:1915815</t>
  </si>
  <si>
    <t>Mrps18a</t>
  </si>
  <si>
    <t>mitochondrial ribosomal protein S18A</t>
  </si>
  <si>
    <t>MGI:2388268</t>
  </si>
  <si>
    <t>Cdkl3</t>
  </si>
  <si>
    <t>cyclin-dependent kinase-like 3</t>
  </si>
  <si>
    <t>MGI:3647491</t>
  </si>
  <si>
    <t>Gm6651</t>
  </si>
  <si>
    <t>paraoxonase 3</t>
  </si>
  <si>
    <t>MGI:1919128</t>
  </si>
  <si>
    <t>Fam83d</t>
  </si>
  <si>
    <t>MGI:1261847</t>
  </si>
  <si>
    <t>Vrk1</t>
  </si>
  <si>
    <t>vaccinia related kinase 1</t>
  </si>
  <si>
    <t>MGI:3577767</t>
  </si>
  <si>
    <t>Grxcr1</t>
  </si>
  <si>
    <t>glutaredoxin, cysteine rich 1</t>
  </si>
  <si>
    <t>MGI:1923549</t>
  </si>
  <si>
    <t>Erp44</t>
  </si>
  <si>
    <t>endoplasmic reticulum protein 44</t>
  </si>
  <si>
    <t>MGI:87978</t>
  </si>
  <si>
    <t>Ak2</t>
  </si>
  <si>
    <t>adenylate kinase 2</t>
  </si>
  <si>
    <t>MGI:101913</t>
  </si>
  <si>
    <t>Chml</t>
  </si>
  <si>
    <t>protein-tyrosine sulfotransferase 1</t>
  </si>
  <si>
    <t>MGI:102552</t>
  </si>
  <si>
    <t>Crisp3</t>
  </si>
  <si>
    <t>cysteine-rich secretory protein 3</t>
  </si>
  <si>
    <t>MGI:1922542</t>
  </si>
  <si>
    <t>Prkd3</t>
  </si>
  <si>
    <t>guanine nucleotide binding protein, alpha 13</t>
  </si>
  <si>
    <t>MGI:1914596</t>
  </si>
  <si>
    <t>Daam1</t>
  </si>
  <si>
    <t>dishevelled associated activator of morphogenesis 1</t>
  </si>
  <si>
    <t>MGI:1914394</t>
  </si>
  <si>
    <t>Lrrc40</t>
  </si>
  <si>
    <t>leucine rich repeat containing 40</t>
  </si>
  <si>
    <t>MGI:3781756</t>
  </si>
  <si>
    <t>Gm3579</t>
  </si>
  <si>
    <t>predicted gene 3579</t>
  </si>
  <si>
    <t>MGI:3650289</t>
  </si>
  <si>
    <t>Gm12372</t>
  </si>
  <si>
    <t>predicted gene 12372</t>
  </si>
  <si>
    <t>MGI:1915074</t>
  </si>
  <si>
    <t>Nmral1</t>
  </si>
  <si>
    <t>NmrA-like family domain containing 1</t>
  </si>
  <si>
    <t>MGI:101924</t>
  </si>
  <si>
    <t>Slc12a2</t>
  </si>
  <si>
    <t>myocyte enhancer factor 2B</t>
  </si>
  <si>
    <t>MGI:1928842</t>
  </si>
  <si>
    <t>Cacna1h</t>
  </si>
  <si>
    <t>calcium channel, voltage-dependent, T type, alpha 1H subunit</t>
  </si>
  <si>
    <t>MGI:1914111</t>
  </si>
  <si>
    <t>Dnajc10</t>
  </si>
  <si>
    <t>DnaJ (Hsp40) homolog, subfamily C, member 10</t>
  </si>
  <si>
    <t>MGI:1919440</t>
  </si>
  <si>
    <t>2510009E07Rik</t>
  </si>
  <si>
    <t>RIKEN cDNA 2510009E07 gene</t>
  </si>
  <si>
    <t>MGI:2444008</t>
  </si>
  <si>
    <t>Bptf</t>
  </si>
  <si>
    <t>bromodomain PHD finger transcription factor</t>
  </si>
  <si>
    <t>MGI:1915437</t>
  </si>
  <si>
    <t>Fam135a</t>
  </si>
  <si>
    <t>fumarate hydratase 1</t>
  </si>
  <si>
    <t>MGI:1097686</t>
  </si>
  <si>
    <t>H3f3a</t>
  </si>
  <si>
    <t>H3 histone, family 3A</t>
  </si>
  <si>
    <t>MGI:2384878</t>
  </si>
  <si>
    <t>Cep164</t>
  </si>
  <si>
    <t>centrosomal protein 164</t>
  </si>
  <si>
    <t>MGI:2442599</t>
  </si>
  <si>
    <t>4732471D19Rik</t>
  </si>
  <si>
    <t>RIKEN cDNA 4732471D19 gene</t>
  </si>
  <si>
    <t>MGI:1855693</t>
  </si>
  <si>
    <t>Nap1l1</t>
  </si>
  <si>
    <t>nucleosome assembly protein 1-like 1</t>
  </si>
  <si>
    <t>MGI:96414</t>
  </si>
  <si>
    <t>Idh2</t>
  </si>
  <si>
    <t>isocitrate dehydrogenase 2 (NADP+), mitochondrial</t>
  </si>
  <si>
    <t>MGI:1914446</t>
  </si>
  <si>
    <t>Ube2t</t>
  </si>
  <si>
    <t>ubiquitin-conjugating enzyme E2T (putative)</t>
  </si>
  <si>
    <t>MGI:105376</t>
  </si>
  <si>
    <t>Adam9</t>
  </si>
  <si>
    <t>RNA binding motif protein 38</t>
  </si>
  <si>
    <t>MGI:1914162</t>
  </si>
  <si>
    <t>Bzw2</t>
  </si>
  <si>
    <t>basic leucine zipper and W2 domains 2</t>
  </si>
  <si>
    <t>MGI:1921166</t>
  </si>
  <si>
    <t>Ift57</t>
  </si>
  <si>
    <t>intraflagellar transport 57 homolog (Chlamydomonas)</t>
  </si>
  <si>
    <t>MGI:109167</t>
  </si>
  <si>
    <t>Fgf11</t>
  </si>
  <si>
    <t>pleckstrin homology domain-containing, family A (phosphoinositide binding specific) member 2</t>
  </si>
  <si>
    <t>MGI:1196228</t>
  </si>
  <si>
    <t>Zcchc10</t>
  </si>
  <si>
    <t>MGI:1913838</t>
  </si>
  <si>
    <t>Cmpk1</t>
  </si>
  <si>
    <t>cytidine monophosphate (UMP-CMP) kinase 1</t>
  </si>
  <si>
    <t>MGI:1277964</t>
  </si>
  <si>
    <t>Ehhadh</t>
  </si>
  <si>
    <t>enoyl-Coenzyme A, hydratase/3-hydroxyacyl Coenzyme A dehydrogenase</t>
  </si>
  <si>
    <t>MGI:109519</t>
  </si>
  <si>
    <t>solute carrier family 36 (proton/amino acid symporter), member 4</t>
  </si>
  <si>
    <t>MGI:107485</t>
  </si>
  <si>
    <t>Ralgds</t>
  </si>
  <si>
    <t>ral guanine nucleotide dissociation stimulator</t>
  </si>
  <si>
    <t>MGI:95481</t>
  </si>
  <si>
    <t>Ptk2</t>
  </si>
  <si>
    <t>PTK2 protein tyrosine kinase 2</t>
  </si>
  <si>
    <t>MGI:1919045</t>
  </si>
  <si>
    <t>Pitpnc1</t>
  </si>
  <si>
    <t>phosphatidylinositol transfer protein, cytoplasmic 1</t>
  </si>
  <si>
    <t>MGI:2445141</t>
  </si>
  <si>
    <t>Cnst</t>
  </si>
  <si>
    <t>consortin, connexin sorting protein</t>
  </si>
  <si>
    <t>MGI:1890359</t>
  </si>
  <si>
    <t>Igf2bp3</t>
  </si>
  <si>
    <t>insulin-like growth factor 2 mRNA binding protein 3</t>
  </si>
  <si>
    <t>MGI:2685104</t>
  </si>
  <si>
    <t>Akap5</t>
  </si>
  <si>
    <t>A kinase (PRKA) anchor protein 5</t>
  </si>
  <si>
    <t>MGI:1891341</t>
  </si>
  <si>
    <t>Lpin2</t>
  </si>
  <si>
    <t>lipin 2</t>
  </si>
  <si>
    <t>2810026P18Rik</t>
  </si>
  <si>
    <t>RIKEN cDNA 2810026P18 gene</t>
  </si>
  <si>
    <t>MGI:108424</t>
  </si>
  <si>
    <t>Lrmp</t>
  </si>
  <si>
    <t>lymphoid-restricted membrane protein</t>
  </si>
  <si>
    <t>MGI:1927224</t>
  </si>
  <si>
    <t>Yeats4</t>
  </si>
  <si>
    <t>YEATS domain containing 4</t>
  </si>
  <si>
    <t>MGI:96398</t>
  </si>
  <si>
    <t>Id3</t>
  </si>
  <si>
    <t>inhibitor of DNA binding 3</t>
  </si>
  <si>
    <t>MGI:2154263</t>
  </si>
  <si>
    <t>Gltscr1</t>
  </si>
  <si>
    <t>glioma tumor suppressor candidate region gene 1</t>
  </si>
  <si>
    <t>MGI:1926048</t>
  </si>
  <si>
    <t>Eml4</t>
  </si>
  <si>
    <t>leucine rich repeat containing 32</t>
  </si>
  <si>
    <t>MGI:1927138</t>
  </si>
  <si>
    <t>Net1</t>
  </si>
  <si>
    <t>neuroepithelial cell transforming gene 1</t>
  </si>
  <si>
    <t>MGI:2142116</t>
  </si>
  <si>
    <t>Psip1</t>
  </si>
  <si>
    <t>PC4 and SFRS1 interacting protein 1</t>
  </si>
  <si>
    <t>MGI:1924845</t>
  </si>
  <si>
    <t>Nup210l</t>
  </si>
  <si>
    <t>nucleoporin 210-like</t>
  </si>
  <si>
    <t>MGI:1859310</t>
  </si>
  <si>
    <t>Asah2</t>
  </si>
  <si>
    <t>N-acylsphingosine amidohydrolase 2</t>
  </si>
  <si>
    <t>MGI:2442191</t>
  </si>
  <si>
    <t>Dusp4</t>
  </si>
  <si>
    <t>dual specificity phosphatase 4</t>
  </si>
  <si>
    <t>MGI:1920389</t>
  </si>
  <si>
    <t>Cenpv</t>
  </si>
  <si>
    <t>centromere protein V</t>
  </si>
  <si>
    <t>MGI:1314882</t>
  </si>
  <si>
    <t>Hipk3</t>
  </si>
  <si>
    <t>coiled-coil domain containing 50</t>
  </si>
  <si>
    <t>MGI:3642697</t>
  </si>
  <si>
    <t>Gm16493</t>
  </si>
  <si>
    <t>predicted gene 16493</t>
  </si>
  <si>
    <t>MGI:1355274</t>
  </si>
  <si>
    <t>Uchl3</t>
  </si>
  <si>
    <t>ubiquitin carboxyl-terminal esterase L3 (ubiquitin thiolesterase)</t>
  </si>
  <si>
    <t>MGI:106686</t>
  </si>
  <si>
    <t>Pon3</t>
  </si>
  <si>
    <t>E2F transcription factor 5</t>
  </si>
  <si>
    <t>MGI:1858178</t>
  </si>
  <si>
    <t>Usp2</t>
  </si>
  <si>
    <t>ubiquitin specific peptidase 2</t>
  </si>
  <si>
    <t>MGI:1918345</t>
  </si>
  <si>
    <t>Kif24</t>
  </si>
  <si>
    <t>kinesin family member 24</t>
  </si>
  <si>
    <t>MGI:1929129</t>
  </si>
  <si>
    <t>Sap30</t>
  </si>
  <si>
    <t>sin3 associated polypeptide</t>
  </si>
  <si>
    <t>MGI:1930187</t>
  </si>
  <si>
    <t>Maged1</t>
  </si>
  <si>
    <t>choroideremia-like</t>
  </si>
  <si>
    <t>MGI:1919318</t>
  </si>
  <si>
    <t>Cnot2</t>
  </si>
  <si>
    <t>CCR4-NOT transcription complex, subunit 2</t>
  </si>
  <si>
    <t>MGI:1919327</t>
  </si>
  <si>
    <t>Gcnt3</t>
  </si>
  <si>
    <t>MGI:107816</t>
  </si>
  <si>
    <t>Pfkfb1</t>
  </si>
  <si>
    <t>ASF1 anti-silencing function 1 homolog A (S. cerevisiae)</t>
  </si>
  <si>
    <t>MGI:95768</t>
  </si>
  <si>
    <t>Gna13</t>
  </si>
  <si>
    <t>EH-domain containing 2</t>
  </si>
  <si>
    <t>MGI:3643428</t>
  </si>
  <si>
    <t>Gm6020</t>
  </si>
  <si>
    <t>predicted gene 6020</t>
  </si>
  <si>
    <t>MGI:1333843</t>
  </si>
  <si>
    <t>Slc31a1</t>
  </si>
  <si>
    <t>MGI:3650665</t>
  </si>
  <si>
    <t>Gm13310</t>
  </si>
  <si>
    <t>predicted gene 13310</t>
  </si>
  <si>
    <t>MGI:1922152</t>
  </si>
  <si>
    <t>4930473A06Rik</t>
  </si>
  <si>
    <t>RIKEN cDNA 4930473A06 gene</t>
  </si>
  <si>
    <t>MGI:3510405</t>
  </si>
  <si>
    <t>Zkscan16</t>
  </si>
  <si>
    <t>zinc finger with KRAB and SCAN domains 16</t>
  </si>
  <si>
    <t>MGI:1916289</t>
  </si>
  <si>
    <t>Insig1</t>
  </si>
  <si>
    <t>insulin induced gene 1</t>
  </si>
  <si>
    <t>MGI:1916298</t>
  </si>
  <si>
    <t>Slc30a5</t>
  </si>
  <si>
    <t>solute carrier family 12, member 2</t>
  </si>
  <si>
    <t>MGI:2685746</t>
  </si>
  <si>
    <t>Gm900</t>
  </si>
  <si>
    <t>predicted gene 900</t>
  </si>
  <si>
    <t>MGI:3584458</t>
  </si>
  <si>
    <t>Atxn7l1</t>
  </si>
  <si>
    <t>ataxin 7-like 1</t>
  </si>
  <si>
    <t>MGI:1345181</t>
  </si>
  <si>
    <t>Pacsin1</t>
  </si>
  <si>
    <t>protein kinase C and casein kinase substrate in neurons 1</t>
  </si>
  <si>
    <t>MGI:2429620</t>
  </si>
  <si>
    <t>Hinfp</t>
  </si>
  <si>
    <t>histone H4 transcription factor</t>
  </si>
  <si>
    <t>MGI:2448355</t>
  </si>
  <si>
    <t>Hist2h3c1</t>
  </si>
  <si>
    <t>MGI:95530</t>
  </si>
  <si>
    <t>Fh1</t>
  </si>
  <si>
    <t>replication factor C (activator 1) 3</t>
  </si>
  <si>
    <t>MGI:104798</t>
  </si>
  <si>
    <t>Tnf</t>
  </si>
  <si>
    <t>tumor necrosis factor</t>
  </si>
  <si>
    <t>MGI:1932576</t>
  </si>
  <si>
    <t>Akap12</t>
  </si>
  <si>
    <t>A kinase (PRKA) anchor protein (gravin) 12</t>
  </si>
  <si>
    <t>MGI:1923620</t>
  </si>
  <si>
    <t>Txndc11</t>
  </si>
  <si>
    <t>thioredoxin domain containing 11</t>
  </si>
  <si>
    <t>MGI:1919014</t>
  </si>
  <si>
    <t>C2cd2l</t>
  </si>
  <si>
    <t>C2 calcium-dependent domain containing 2-like</t>
  </si>
  <si>
    <t>MGI:1918110</t>
  </si>
  <si>
    <t>septin 10</t>
  </si>
  <si>
    <t>MGI:2444484</t>
  </si>
  <si>
    <t>Manea</t>
  </si>
  <si>
    <t>mannosidase, endo-alpha</t>
  </si>
  <si>
    <t>MGI:98788</t>
  </si>
  <si>
    <t>Top1</t>
  </si>
  <si>
    <t>a disintegrin and metallopeptidase domain 9 (meltrin gamma)</t>
  </si>
  <si>
    <t>MGI:96113</t>
  </si>
  <si>
    <t>Hmgb1</t>
  </si>
  <si>
    <t>high mobility group box 1</t>
  </si>
  <si>
    <t>MGI:1928144</t>
  </si>
  <si>
    <t>Plekha2</t>
  </si>
  <si>
    <t>twisted gastrulation homolog 1 (Drosophila)</t>
  </si>
  <si>
    <t>MGI:96612</t>
  </si>
  <si>
    <t>Itgb3</t>
  </si>
  <si>
    <t>integrin beta 3</t>
  </si>
  <si>
    <t>MGI:102706</t>
  </si>
  <si>
    <t>Fdft1</t>
  </si>
  <si>
    <t>farnesyl diphosphate farnesyl transferase 1</t>
  </si>
  <si>
    <t>MGI:96243</t>
  </si>
  <si>
    <t>Hspa2</t>
  </si>
  <si>
    <t>heat shock protein 2</t>
  </si>
  <si>
    <t>MGI:1915691</t>
  </si>
  <si>
    <t>Msh3</t>
  </si>
  <si>
    <t>mutS homolog 3 (E. coli)</t>
  </si>
  <si>
    <t>MGI:1919268</t>
  </si>
  <si>
    <t>Fundc1</t>
  </si>
  <si>
    <t>FUN14 domain containing 1</t>
  </si>
  <si>
    <t>MGI:1919443</t>
  </si>
  <si>
    <t>Scaf11</t>
  </si>
  <si>
    <t>calcium binding atopy-related autoantigen 1</t>
  </si>
  <si>
    <t>MGI:2152213</t>
  </si>
  <si>
    <t>Tirap</t>
  </si>
  <si>
    <t>toll-interleukin 1 receptor (TIR) domain-containing adaptor protein</t>
  </si>
  <si>
    <t>MGI:2443258</t>
  </si>
  <si>
    <t>B230120H23Rik</t>
  </si>
  <si>
    <t>RIKEN cDNA B230120H23 gene</t>
  </si>
  <si>
    <t>Timd2</t>
  </si>
  <si>
    <t>T-cell immunoglobulin and mucin domain containing 2</t>
  </si>
  <si>
    <t>MGI:1921442</t>
  </si>
  <si>
    <t>Arpc5l</t>
  </si>
  <si>
    <t>actin related protein 2/3 complex, subunit 5-like</t>
  </si>
  <si>
    <t>MGI:104626</t>
  </si>
  <si>
    <t>Strbp</t>
  </si>
  <si>
    <t>spermatid perinuclear RNA binding protein</t>
  </si>
  <si>
    <t>MGI:1922546</t>
  </si>
  <si>
    <t>Fgfr1op</t>
  </si>
  <si>
    <t>Fgfr1 oncogene partner</t>
  </si>
  <si>
    <t>MGI:894288</t>
  </si>
  <si>
    <t>Sepp1</t>
  </si>
  <si>
    <t>selenoprotein P, plasma, 1</t>
  </si>
  <si>
    <t>MGI:2443349</t>
  </si>
  <si>
    <t>Parm1</t>
  </si>
  <si>
    <t>prostate androgen-regulated mucin-like protein 1</t>
  </si>
  <si>
    <t>MGI:99147</t>
  </si>
  <si>
    <t>Yes1</t>
  </si>
  <si>
    <t>MGI:1913887</t>
  </si>
  <si>
    <t>Tsen15</t>
  </si>
  <si>
    <t>tRNA splicing endonuclease 15 homolog (S. cerevisiae)</t>
  </si>
  <si>
    <t>MGI:1932386</t>
  </si>
  <si>
    <t>Ift122</t>
  </si>
  <si>
    <t>intraflagellar transport 122 homolog (Chlamydomonas)</t>
  </si>
  <si>
    <t>MGI:1918358</t>
  </si>
  <si>
    <t>Ccdc122</t>
  </si>
  <si>
    <t>coiled-coil domain containing 122</t>
  </si>
  <si>
    <t>MGI:3603820</t>
  </si>
  <si>
    <t>Tctn1</t>
  </si>
  <si>
    <t>tectonic family member 1</t>
  </si>
  <si>
    <t>MGI:93882</t>
  </si>
  <si>
    <t>Lrrc32</t>
  </si>
  <si>
    <t>ribonucleotide reductase M2 B (TP53 inducible)</t>
  </si>
  <si>
    <t>MGI:1343961</t>
  </si>
  <si>
    <t>Msh6</t>
  </si>
  <si>
    <t>mutS homolog 6 (E. coli)</t>
  </si>
  <si>
    <t>MGI:2385271</t>
  </si>
  <si>
    <t>Blvrb</t>
  </si>
  <si>
    <t>biliverdin reductase B (flavin reductase (NADPH))</t>
  </si>
  <si>
    <t>MGI:106484</t>
  </si>
  <si>
    <t>Rufy3</t>
  </si>
  <si>
    <t>RUN and FYVE domain containing 3</t>
  </si>
  <si>
    <t>MGI:1917178</t>
  </si>
  <si>
    <t>Apitd1</t>
  </si>
  <si>
    <t>MGI:1917704</t>
  </si>
  <si>
    <t>Cenpl</t>
  </si>
  <si>
    <t>centromere protein L</t>
  </si>
  <si>
    <t>MGI:1914291</t>
  </si>
  <si>
    <t>Oxct1</t>
  </si>
  <si>
    <t>3-oxoacid CoA transferase 1</t>
  </si>
  <si>
    <t>MGI:95707</t>
  </si>
  <si>
    <t>Gh</t>
  </si>
  <si>
    <t>homeodomain interacting protein kinase 3</t>
  </si>
  <si>
    <t>MGI:1917955</t>
  </si>
  <si>
    <t>Fyttd1</t>
  </si>
  <si>
    <t>forty-two-three domain containing 1</t>
  </si>
  <si>
    <t>MGI:105091</t>
  </si>
  <si>
    <t>E2f5</t>
  </si>
  <si>
    <t>predicted gene 2701</t>
  </si>
  <si>
    <t>MGI:3642102</t>
  </si>
  <si>
    <t>Gm10615</t>
  </si>
  <si>
    <t>predicted gene 10615</t>
  </si>
  <si>
    <t>MGI:3607704</t>
  </si>
  <si>
    <t>Slc22a15</t>
  </si>
  <si>
    <t>solute carrier family 22 (organic anion/cation transporter), member 15</t>
  </si>
  <si>
    <t>MGI:95454</t>
  </si>
  <si>
    <t>Etl4</t>
  </si>
  <si>
    <t>melanoma antigen, family D, 1</t>
  </si>
  <si>
    <t>MGI:88271</t>
  </si>
  <si>
    <t>Cat</t>
  </si>
  <si>
    <t>catalase</t>
  </si>
  <si>
    <t>MGI:1914838</t>
  </si>
  <si>
    <t>Rnf41</t>
  </si>
  <si>
    <t>ring finger protein 41</t>
  </si>
  <si>
    <t>MGI:1913653</t>
  </si>
  <si>
    <t>Asf1a</t>
  </si>
  <si>
    <t>MGI:1917405</t>
  </si>
  <si>
    <t>Ogfrl1</t>
  </si>
  <si>
    <t>opioid growth factor receptor-like 1</t>
  </si>
  <si>
    <t>MGI:103075</t>
  </si>
  <si>
    <t>Wee1</t>
  </si>
  <si>
    <t>WEE 1 homolog 1 (S. pombe)</t>
  </si>
  <si>
    <t>MGI:2444283</t>
  </si>
  <si>
    <t>Coro2b</t>
  </si>
  <si>
    <t>coronin, actin binding protein, 2B</t>
  </si>
  <si>
    <t>MGI:2154274</t>
  </si>
  <si>
    <t>Ehd2</t>
  </si>
  <si>
    <t>NEDD4 binding protein 2</t>
  </si>
  <si>
    <t>MGI:2147191</t>
  </si>
  <si>
    <t>Tnfaip8</t>
  </si>
  <si>
    <t>tumor necrosis factor, alpha-induced protein 8</t>
  </si>
  <si>
    <t>MGI:1353653</t>
  </si>
  <si>
    <t>Glrx3</t>
  </si>
  <si>
    <t>glutaredoxin 3</t>
  </si>
  <si>
    <t>MGI:1270840</t>
  </si>
  <si>
    <t>Ehf</t>
  </si>
  <si>
    <t>ets homologous factor</t>
  </si>
  <si>
    <t>MGI:3712328</t>
  </si>
  <si>
    <t>Pnp2</t>
  </si>
  <si>
    <t>purine-nucleoside phosphorylase 2</t>
  </si>
  <si>
    <t>MGI:2685141</t>
  </si>
  <si>
    <t>Kbtbd7</t>
  </si>
  <si>
    <t>kelch repeat and BTB (POZ) domain containing 7</t>
  </si>
  <si>
    <t>MGI:98728</t>
  </si>
  <si>
    <t>Tgfbr1</t>
  </si>
  <si>
    <t>transforming growth factor, beta receptor I</t>
  </si>
  <si>
    <t>MGI:1344391</t>
  </si>
  <si>
    <t>Sh3bp5</t>
  </si>
  <si>
    <t>solute carrier family 30 (zinc transporter), member 5</t>
  </si>
  <si>
    <t>MGI:2685821</t>
  </si>
  <si>
    <t>Hjurp</t>
  </si>
  <si>
    <t>Holliday junction recognition protein</t>
  </si>
  <si>
    <t>MGI:1334459</t>
  </si>
  <si>
    <t>Uap1</t>
  </si>
  <si>
    <t>UDP-N-acetylglucosamine pyrophosphorylase 1</t>
  </si>
  <si>
    <t>MGI:109360</t>
  </si>
  <si>
    <t>Lmo4</t>
  </si>
  <si>
    <t>LIM domain only 4</t>
  </si>
  <si>
    <t>MGI:1861601</t>
  </si>
  <si>
    <t>Cpsf2</t>
  </si>
  <si>
    <t>cleavage and polyadenylation specific factor 2</t>
  </si>
  <si>
    <t>MGI:1916513</t>
  </si>
  <si>
    <t>Rfc3</t>
  </si>
  <si>
    <t>leucine rich repeat containing G protein coupled receptor 5</t>
  </si>
  <si>
    <t>MGI:3761270</t>
  </si>
  <si>
    <t>E330020D12Rik</t>
  </si>
  <si>
    <t>Riken cDNA E330020D12 gene</t>
  </si>
  <si>
    <t>MGI:1919725</t>
  </si>
  <si>
    <t>Ssbp3</t>
  </si>
  <si>
    <t>single-stranded DNA binding protein 3</t>
  </si>
  <si>
    <t>MGI:2136171</t>
  </si>
  <si>
    <t>Aff4</t>
  </si>
  <si>
    <t>AF4/FMR2 family, member 4</t>
  </si>
  <si>
    <t>MGI:1335098</t>
  </si>
  <si>
    <t>Lig4</t>
  </si>
  <si>
    <t>ligase IV, DNA, ATP-dependent</t>
  </si>
  <si>
    <t>MGI:1916316</t>
  </si>
  <si>
    <t>1810010H24Rik</t>
  </si>
  <si>
    <t>RIKEN cDNA 1810010H24 gene</t>
  </si>
  <si>
    <t>MGI:99137</t>
  </si>
  <si>
    <t>Xrcc1</t>
  </si>
  <si>
    <t>topoisomerase (DNA) I</t>
  </si>
  <si>
    <t>MGI:2686922</t>
  </si>
  <si>
    <t>Klhl6</t>
  </si>
  <si>
    <t>kelch-like 6 (Drosophila)</t>
  </si>
  <si>
    <t>MGI:2137520</t>
  </si>
  <si>
    <t>Twsg1</t>
  </si>
  <si>
    <t>CAP-GLY domain containing linker protein 2</t>
  </si>
  <si>
    <t>MGI:3039636</t>
  </si>
  <si>
    <t>BC017612</t>
  </si>
  <si>
    <t>cDNA sequence BC017612</t>
  </si>
  <si>
    <t>MGI:1927070</t>
  </si>
  <si>
    <t>Dusp10</t>
  </si>
  <si>
    <t>dual specificity phosphatase 10</t>
  </si>
  <si>
    <t>MGI:106271</t>
  </si>
  <si>
    <t>Mapre2</t>
  </si>
  <si>
    <t>Rraga</t>
  </si>
  <si>
    <t>Ras-related GTP binding A</t>
  </si>
  <si>
    <t>MGI:1342335</t>
  </si>
  <si>
    <t>Asap1</t>
  </si>
  <si>
    <t>ArfGAP with SH# domain, ankyrin repeat and PH domain1</t>
  </si>
  <si>
    <t>MGI:2384909</t>
  </si>
  <si>
    <t>Cbara1</t>
  </si>
  <si>
    <t>erythrocyte protein band 4.1-like 2</t>
  </si>
  <si>
    <t>MGI:1858210</t>
  </si>
  <si>
    <t>Stx7</t>
  </si>
  <si>
    <t>syntaxin 7</t>
  </si>
  <si>
    <t>MGI:97365</t>
  </si>
  <si>
    <t>Pnp</t>
  </si>
  <si>
    <t>purine-nucleoside phosphorylase</t>
  </si>
  <si>
    <t>MGI:2145316</t>
  </si>
  <si>
    <t>Txndc5</t>
  </si>
  <si>
    <t>thioredoxin domain containing 5</t>
  </si>
  <si>
    <t>MGI:2159681</t>
  </si>
  <si>
    <t>hemoglobin, beta adult major chain</t>
  </si>
  <si>
    <t>MGI:3027896</t>
  </si>
  <si>
    <t>Ppp4r2</t>
  </si>
  <si>
    <t>protein phosphatase 4, regulatory subunit 2</t>
  </si>
  <si>
    <t>MGI:3643568</t>
  </si>
  <si>
    <t>Gm6762</t>
  </si>
  <si>
    <t>predicted pseudogene 6762</t>
  </si>
  <si>
    <t>MGI:1927110</t>
  </si>
  <si>
    <t>Tmem131</t>
  </si>
  <si>
    <t>transmembrane protein 131</t>
  </si>
  <si>
    <t>MGI:1924714</t>
  </si>
  <si>
    <t>Prr5</t>
  </si>
  <si>
    <t>proline rich 5 (renal)</t>
  </si>
  <si>
    <t>MGI:95482</t>
  </si>
  <si>
    <t>Fah</t>
  </si>
  <si>
    <t>fumarylacetoacetate hydrolase</t>
  </si>
  <si>
    <t>MGI:1913936</t>
  </si>
  <si>
    <t>Dcbld1</t>
  </si>
  <si>
    <t>discoidin, CUB  and LCCL domain containing 1</t>
  </si>
  <si>
    <t>MGI:3643860</t>
  </si>
  <si>
    <t>Gm4989</t>
  </si>
  <si>
    <t>Yamaguchi sarcoma viral (v-yes) oncogene homolog 1</t>
  </si>
  <si>
    <t>MGI:1918248</t>
  </si>
  <si>
    <t>Phf6</t>
  </si>
  <si>
    <t>PHD finger protein 6</t>
  </si>
  <si>
    <t>MGI:2442306</t>
  </si>
  <si>
    <t>Fancm</t>
  </si>
  <si>
    <t>MGI:105388</t>
  </si>
  <si>
    <t>Cdkn2c</t>
  </si>
  <si>
    <t>MGI:2442866</t>
  </si>
  <si>
    <t>Zbtb38</t>
  </si>
  <si>
    <t>zinc finger and BTB domain containing 38</t>
  </si>
  <si>
    <t>MGI:1914960</t>
  </si>
  <si>
    <t>Polr2g</t>
  </si>
  <si>
    <t>polymerase (RNA) II (DNA directed) polypeptide G</t>
  </si>
  <si>
    <t>MGI:2155865</t>
  </si>
  <si>
    <t>Rrm2b</t>
  </si>
  <si>
    <t>MGI:1921984</t>
  </si>
  <si>
    <t>Rhoh</t>
  </si>
  <si>
    <t>ras homolog gene family, member H</t>
  </si>
  <si>
    <t>MGI:1197006</t>
  </si>
  <si>
    <t>Pipox</t>
  </si>
  <si>
    <t>pipecolic acid oxidase</t>
  </si>
  <si>
    <t>MGI:1924295</t>
  </si>
  <si>
    <t>Bcl7a</t>
  </si>
  <si>
    <t>B-cell CLL/lymphoma 7A</t>
  </si>
  <si>
    <t>MGI:2387613</t>
  </si>
  <si>
    <t>Erlin1</t>
  </si>
  <si>
    <t>ER lipid raft associated 1</t>
  </si>
  <si>
    <t>MGI:2178759</t>
  </si>
  <si>
    <t>Rtn4ip1</t>
  </si>
  <si>
    <t>reticulon 4 interacting protein 1</t>
  </si>
  <si>
    <t>MGI:88384</t>
  </si>
  <si>
    <t>F9</t>
  </si>
  <si>
    <t>coagulation factor IX</t>
  </si>
  <si>
    <t>MGI:105050</t>
  </si>
  <si>
    <t>Mtf2</t>
  </si>
  <si>
    <t>metal response element binding transcription factor 2</t>
  </si>
  <si>
    <t>MGI:1913484</t>
  </si>
  <si>
    <t>growth hormone</t>
  </si>
  <si>
    <t>MGI:1926017</t>
  </si>
  <si>
    <t>2610021K21Rik</t>
  </si>
  <si>
    <t>RIKEN cDNA 2610021K21 gene</t>
  </si>
  <si>
    <t>MGI:3780871</t>
  </si>
  <si>
    <t>Gm2701</t>
  </si>
  <si>
    <t>arginine glutamic acid dipeptide (RE) repeats</t>
  </si>
  <si>
    <t>MGI:107592</t>
  </si>
  <si>
    <t>Hmgcs1</t>
  </si>
  <si>
    <t>3-hydroxy-3-methylglutaryl-Coenzyme A synthase 1</t>
  </si>
  <si>
    <t>MGI:2443716</t>
  </si>
  <si>
    <t>Scai</t>
  </si>
  <si>
    <t>suppressor of cancer cell invasion</t>
  </si>
  <si>
    <t>MGI:1922985</t>
  </si>
  <si>
    <t>enhancer trap locus 4</t>
  </si>
  <si>
    <t>MGI:1340806</t>
  </si>
  <si>
    <t>Parp1</t>
  </si>
  <si>
    <t>poly (ADP-ribose) polymerase family, member 1</t>
  </si>
  <si>
    <t>MGI:1922484</t>
  </si>
  <si>
    <t>Rnf19b</t>
  </si>
  <si>
    <t>ring finger protein 19B</t>
  </si>
  <si>
    <t>MGI:1277218</t>
  </si>
  <si>
    <t>Rpap3</t>
  </si>
  <si>
    <t>RNA polymerase II associated protein 3</t>
  </si>
  <si>
    <t>MGI:1922974</t>
  </si>
  <si>
    <t>Ccdc18</t>
  </si>
  <si>
    <t>coiled-coil domain containing 18</t>
  </si>
  <si>
    <t>MGI:2684414</t>
  </si>
  <si>
    <t>N4bp2</t>
  </si>
  <si>
    <t>uracil phosphoribosyltransferase (FUR1) homolog (S. cerevisiae)</t>
  </si>
  <si>
    <t>MGI:1929074</t>
  </si>
  <si>
    <t>Rev1</t>
  </si>
  <si>
    <t>REV1 homolog (S. cerevisiae)</t>
  </si>
  <si>
    <t>MGI:1921895</t>
  </si>
  <si>
    <t>Fam46c</t>
  </si>
  <si>
    <t>family with sequence similarity 46, member C</t>
  </si>
  <si>
    <t>MGI:1914367</t>
  </si>
  <si>
    <t>Dynlt3</t>
  </si>
  <si>
    <t>dynein light chain Tctex-type 3</t>
  </si>
  <si>
    <t>MGI:2147677</t>
  </si>
  <si>
    <t>Lpxn</t>
  </si>
  <si>
    <t>leupaxin</t>
  </si>
  <si>
    <t>MGI:1338824</t>
  </si>
  <si>
    <t>Rgs9</t>
  </si>
  <si>
    <t>regulator of G-protein signaling 9</t>
  </si>
  <si>
    <t>MGI:95893</t>
  </si>
  <si>
    <t>H1f0</t>
  </si>
  <si>
    <t>H1 histone family, member 0</t>
  </si>
  <si>
    <t>SH3-domain binding protein 5 (BTK-associated)</t>
  </si>
  <si>
    <t>MGI:1929691</t>
  </si>
  <si>
    <t>Slc15a3</t>
  </si>
  <si>
    <t>solute carrier family 15, member 3</t>
  </si>
  <si>
    <t>MGI:1306795</t>
  </si>
  <si>
    <t>Akap2</t>
  </si>
  <si>
    <t>A kinase (PRKA) anchor protein 2</t>
  </si>
  <si>
    <t>MGI:2179722</t>
  </si>
  <si>
    <t>Rassf3</t>
  </si>
  <si>
    <t>Ras association (RalGDS/AF-6) domain family member 3</t>
  </si>
  <si>
    <t>MGI:97598</t>
  </si>
  <si>
    <t>Prkcd</t>
  </si>
  <si>
    <t>protein kinase C, delta</t>
  </si>
  <si>
    <t>MGI:1341817</t>
  </si>
  <si>
    <t>Lgr5</t>
  </si>
  <si>
    <t>family with sequence similarity 134, member B</t>
  </si>
  <si>
    <t>MGI:3643058</t>
  </si>
  <si>
    <t>Gm5465</t>
  </si>
  <si>
    <t>predicted gene 5465</t>
  </si>
  <si>
    <t>MGI:107776</t>
  </si>
  <si>
    <t>Gadd45b</t>
  </si>
  <si>
    <t>growth arrest and DNA-damage-inducible 45 beta</t>
  </si>
  <si>
    <t>MGI:95559</t>
  </si>
  <si>
    <t>Flt3</t>
  </si>
  <si>
    <t>FMS-like tyrosine kinase 3</t>
  </si>
  <si>
    <t>MGI:1330848</t>
  </si>
  <si>
    <t>Atp8a1</t>
  </si>
  <si>
    <t>ATPase, aminophospholipid transporter (APLT), class I, type 8A, member 1</t>
  </si>
  <si>
    <t>MGI:1914533</t>
  </si>
  <si>
    <t>Slc25a19</t>
  </si>
  <si>
    <t>MGI:1859649</t>
  </si>
  <si>
    <t>Ctnnal1</t>
  </si>
  <si>
    <t>catenin (cadherin associated protein), alpha-like 1</t>
  </si>
  <si>
    <t>X-ray repair complementing defective repair in Chinese hamster cells 1</t>
  </si>
  <si>
    <t>MGI:107363</t>
  </si>
  <si>
    <t>Stxbp1</t>
  </si>
  <si>
    <t>syntaxin binding protein 1</t>
  </si>
  <si>
    <t>MGI:1313136</t>
  </si>
  <si>
    <t>Clip2</t>
  </si>
  <si>
    <t>Tpd52</t>
  </si>
  <si>
    <t>tumor protein D52</t>
  </si>
  <si>
    <t>MGI:1859549</t>
  </si>
  <si>
    <t>Btnl2</t>
  </si>
  <si>
    <t>butyrophilin-like 2</t>
  </si>
  <si>
    <t>MGI:3045318</t>
  </si>
  <si>
    <t>Usp44</t>
  </si>
  <si>
    <t>ubiquitin specific peptidase 44</t>
  </si>
  <si>
    <t>MGI:108414</t>
  </si>
  <si>
    <t>Pafah1b3</t>
  </si>
  <si>
    <t>microtubule-associated protein, RP/EB family, member 2</t>
  </si>
  <si>
    <t>MGI:1924165</t>
  </si>
  <si>
    <t>Mnd1</t>
  </si>
  <si>
    <t>meiotic nuclear divisions 1 homolog (S. cerevisiae)</t>
  </si>
  <si>
    <t>MGI:103009</t>
  </si>
  <si>
    <t>Epb4.1l2</t>
  </si>
  <si>
    <t>MGI:1914199</t>
  </si>
  <si>
    <t>Trim59</t>
  </si>
  <si>
    <t>tripartite motif-containing 59</t>
  </si>
  <si>
    <t>MGI:1289156</t>
  </si>
  <si>
    <t>Pbk</t>
  </si>
  <si>
    <t>PDZ binding kinase</t>
  </si>
  <si>
    <t>MGI:96021</t>
  </si>
  <si>
    <t>Hbb-b1</t>
  </si>
  <si>
    <t>sphingosine-1-phosphate receptor 2</t>
  </si>
  <si>
    <t>MGI:1261419</t>
  </si>
  <si>
    <t>Fgd6</t>
  </si>
  <si>
    <t>FYVE, RhoGEF and PH domain containing 6</t>
  </si>
  <si>
    <t>MGI:1202907</t>
  </si>
  <si>
    <t>Csrp2</t>
  </si>
  <si>
    <t>cysteine and glycine-rich protein 2</t>
  </si>
  <si>
    <t>MGI:99782</t>
  </si>
  <si>
    <t>Nt5e</t>
  </si>
  <si>
    <t>5' nucleotidase, ecto</t>
  </si>
  <si>
    <t>MGI:1341830</t>
  </si>
  <si>
    <t>Eif2ak3</t>
  </si>
  <si>
    <t>eukaryotic translation initiation factor 2 alpha kinase 3</t>
  </si>
  <si>
    <t>MGI:4439557</t>
  </si>
  <si>
    <t>Gm16633</t>
  </si>
  <si>
    <t>predicted gene, 16633</t>
  </si>
  <si>
    <t>MGI:1915350</t>
  </si>
  <si>
    <t>predicted pseudogene 4989</t>
  </si>
  <si>
    <t>MGI:2183438</t>
  </si>
  <si>
    <t>Ell2</t>
  </si>
  <si>
    <t>elongation factor RNA polymerase II 2</t>
  </si>
  <si>
    <t>MGI:103569</t>
  </si>
  <si>
    <t>Xk</t>
  </si>
  <si>
    <t>Kell blood group precursor (McLeod phenotype) homolog</t>
  </si>
  <si>
    <t>MGI:1919669</t>
  </si>
  <si>
    <t>Fam72a</t>
  </si>
  <si>
    <t>MGI:107566</t>
  </si>
  <si>
    <t>Kifap3</t>
  </si>
  <si>
    <t>kinesin-associated protein 3</t>
  </si>
  <si>
    <t>MGI:1349438</t>
  </si>
  <si>
    <t>Mprip</t>
  </si>
  <si>
    <t>myosin phosphatase Rho interacting protein</t>
  </si>
  <si>
    <t>Krt222</t>
  </si>
  <si>
    <t>keratin 222</t>
  </si>
  <si>
    <t>MGI:3588196</t>
  </si>
  <si>
    <t>3425401B19Rik</t>
  </si>
  <si>
    <t>RIKEN cDNA 3425401B19 gene</t>
  </si>
  <si>
    <t>MGI:1916220</t>
  </si>
  <si>
    <t>Dcaf12</t>
  </si>
  <si>
    <t>DDB1 and CUL4 associated factor 12</t>
  </si>
  <si>
    <t>MGI:106040</t>
  </si>
  <si>
    <t>Cyp51</t>
  </si>
  <si>
    <t>cytochrome P450, family 51</t>
  </si>
  <si>
    <t>MGI:108412</t>
  </si>
  <si>
    <t>Ppap2a</t>
  </si>
  <si>
    <t>phosphatidic acid phosphatase type 2A</t>
  </si>
  <si>
    <t>MGI:102688</t>
  </si>
  <si>
    <t>H2afx</t>
  </si>
  <si>
    <t>MGI:2146574</t>
  </si>
  <si>
    <t>Ildr1</t>
  </si>
  <si>
    <t>immunoglobulin-like domain containing receptor 1</t>
  </si>
  <si>
    <t>MGI:1353586</t>
  </si>
  <si>
    <t>Lmo7</t>
  </si>
  <si>
    <t>Sc4mol</t>
  </si>
  <si>
    <t>sterol-C4-methyl oxidase-like</t>
  </si>
  <si>
    <t>MGI:1890475</t>
  </si>
  <si>
    <t>Il21r</t>
  </si>
  <si>
    <t>interleukin 21 receptor</t>
  </si>
  <si>
    <t>MGI:2683486</t>
  </si>
  <si>
    <t>Rere</t>
  </si>
  <si>
    <t>Hdac9</t>
  </si>
  <si>
    <t>histone deacetylase 9</t>
  </si>
  <si>
    <t>MGI:103561</t>
  </si>
  <si>
    <t>Kpna2</t>
  </si>
  <si>
    <t>karyopherin (importin) alpha 2</t>
  </si>
  <si>
    <t>MGI:108081</t>
  </si>
  <si>
    <t>Sypl</t>
  </si>
  <si>
    <t>synaptophysin-like protein</t>
  </si>
  <si>
    <t>MGI:1916883</t>
  </si>
  <si>
    <t>2310014D11Rik</t>
  </si>
  <si>
    <t>Pank1</t>
  </si>
  <si>
    <t>pantothenate kinase 1</t>
  </si>
  <si>
    <t>MGI:2442593</t>
  </si>
  <si>
    <t>Ddx26b</t>
  </si>
  <si>
    <t>DEAD/H (Asp-Glu-Ala-Asp/His) box polypeptide 26B</t>
  </si>
  <si>
    <t>MGI:2442338</t>
  </si>
  <si>
    <t>Zfp608</t>
  </si>
  <si>
    <t>zinc finger protein 608</t>
  </si>
  <si>
    <t>transformation related protein 53 inducible protein 11</t>
  </si>
  <si>
    <t>MGI:98662</t>
  </si>
  <si>
    <t>Tec</t>
  </si>
  <si>
    <t>tec protein tyrosine kinase</t>
  </si>
  <si>
    <t>MGI:1918780</t>
  </si>
  <si>
    <t>Gas2l3</t>
  </si>
  <si>
    <t>growth arrest-specific 2 like 3</t>
  </si>
  <si>
    <t>MGI:2685620</t>
  </si>
  <si>
    <t>Uprt</t>
  </si>
  <si>
    <t>serine incorporator 5</t>
  </si>
  <si>
    <t>MGI:1929270</t>
  </si>
  <si>
    <t>Dstn</t>
  </si>
  <si>
    <t>destrin</t>
  </si>
  <si>
    <t>MGI:1918448</t>
  </si>
  <si>
    <t>Otud1</t>
  </si>
  <si>
    <t>OTU domain containing 1</t>
  </si>
  <si>
    <t>MGI:1918341</t>
  </si>
  <si>
    <t>Cdkl1</t>
  </si>
  <si>
    <t>cyclin-dependent kinase-like 1 (CDC2-related kinase)</t>
  </si>
  <si>
    <t>MGI:1929213</t>
  </si>
  <si>
    <t>Zbtb20</t>
  </si>
  <si>
    <t>zinc finger and BTB domain containing 20</t>
  </si>
  <si>
    <t>MGI:2686264</t>
  </si>
  <si>
    <t>Igkv4-57-1</t>
  </si>
  <si>
    <t>immunoglobulin kappa variable 4-57-1</t>
  </si>
  <si>
    <t>MGI:3644514</t>
  </si>
  <si>
    <t>MGI:3026916</t>
  </si>
  <si>
    <t>C230071H18Rik</t>
  </si>
  <si>
    <t>RIKEN cDNA C230071H18 gene</t>
  </si>
  <si>
    <t>MGI:2145021</t>
  </si>
  <si>
    <t>Trib2</t>
  </si>
  <si>
    <t>tribbles homolog 2 (Drosophila)</t>
  </si>
  <si>
    <t>MGI:2448475</t>
  </si>
  <si>
    <t>Fchsd2</t>
  </si>
  <si>
    <t>FCH and double SH3 domains 2</t>
  </si>
  <si>
    <t>MGI:1351617</t>
  </si>
  <si>
    <t>Abca3</t>
  </si>
  <si>
    <t>ATP-binding cassette, sub-family A (ABC1), member 3</t>
  </si>
  <si>
    <t>MGI:1913520</t>
  </si>
  <si>
    <t>Fam134b</t>
  </si>
  <si>
    <t>RIKEN cDNA A530032D15Rik gene</t>
  </si>
  <si>
    <t>MGI:1343086</t>
  </si>
  <si>
    <t>Pkig</t>
  </si>
  <si>
    <t>protein kinase inhibitor, gamma</t>
  </si>
  <si>
    <t>MGI:2444365</t>
  </si>
  <si>
    <t>Rapgef5</t>
  </si>
  <si>
    <t>Rap guanine nucleotide exchange factor (GEF) 5</t>
  </si>
  <si>
    <t>MGI:1917099</t>
  </si>
  <si>
    <t>2010007H06Rik</t>
  </si>
  <si>
    <t>RIKEN cDNA 2010007H06 gene</t>
  </si>
  <si>
    <t>MGI:1919299</t>
  </si>
  <si>
    <t>Tnfrsf13c</t>
  </si>
  <si>
    <t>tumor necrosis factor receptor superfamily, member 13c</t>
  </si>
  <si>
    <t>MGI:1927152</t>
  </si>
  <si>
    <t>Syne1</t>
  </si>
  <si>
    <t>synaptic nuclear envelope 1</t>
  </si>
  <si>
    <t>MGI:1920417</t>
  </si>
  <si>
    <t>Arhgap8</t>
  </si>
  <si>
    <t>MGI:1923688</t>
  </si>
  <si>
    <t>Rftn1</t>
  </si>
  <si>
    <t>raftlin lipid raft linker 1</t>
  </si>
  <si>
    <t>MGI:97891</t>
  </si>
  <si>
    <t>Rfc1</t>
  </si>
  <si>
    <t>replication factor C (activator 1) 1</t>
  </si>
  <si>
    <t>MGI:107749</t>
  </si>
  <si>
    <t>acyl-CoA synthetase long-chain family member 3</t>
  </si>
  <si>
    <t>MGI:1333850</t>
  </si>
  <si>
    <t>Mbd4</t>
  </si>
  <si>
    <t>methyl-CpG binding domain protein 4</t>
  </si>
  <si>
    <t>MGI:1891457</t>
  </si>
  <si>
    <t>Polh</t>
  </si>
  <si>
    <t>MGI:88057</t>
  </si>
  <si>
    <t>Apoe</t>
  </si>
  <si>
    <t>apolipoprotein E</t>
  </si>
  <si>
    <t>MGI:102708</t>
  </si>
  <si>
    <t>platelet-activating factor acetylhydrolase, isoform 1b, subunit 3</t>
  </si>
  <si>
    <t>MGI:1201610</t>
  </si>
  <si>
    <t>Tex9</t>
  </si>
  <si>
    <t>testis expressed gene 9</t>
  </si>
  <si>
    <t>MGI:1921747</t>
  </si>
  <si>
    <t>Zfp710</t>
  </si>
  <si>
    <t>zinc finger protein 710</t>
  </si>
  <si>
    <t>Dck</t>
  </si>
  <si>
    <t>deoxycytidine kinase</t>
  </si>
  <si>
    <t>MGI:1921266</t>
  </si>
  <si>
    <t>Phf19</t>
  </si>
  <si>
    <t>PHD finger protein 19</t>
  </si>
  <si>
    <t>MGI:109563</t>
  </si>
  <si>
    <t>Cxcr4</t>
  </si>
  <si>
    <t>chemokine (C-X-C motif) receptor 4</t>
  </si>
  <si>
    <t>MGI:1923437</t>
  </si>
  <si>
    <t>Adhfe1</t>
  </si>
  <si>
    <t>alcohol dehydrogenase, iron containing, 1</t>
  </si>
  <si>
    <t>MGI:99569</t>
  </si>
  <si>
    <t>S1pr2</t>
  </si>
  <si>
    <t>establishment of cohesion 1 homolog 2 (S. cerevisiae)</t>
  </si>
  <si>
    <t>MGI:1098713</t>
  </si>
  <si>
    <t>Parp8</t>
  </si>
  <si>
    <t>poly (ADP-ribose) polymerase family, member 8</t>
  </si>
  <si>
    <t>MGI:97370</t>
  </si>
  <si>
    <t>Enpp1</t>
  </si>
  <si>
    <t>ectonucleotide pyrophosphatase/phosphodiesterase 1</t>
  </si>
  <si>
    <t>MGI:2138893</t>
  </si>
  <si>
    <t>Usp6nl</t>
  </si>
  <si>
    <t>USP6 N-terminal like</t>
  </si>
  <si>
    <t>MGI:1345171</t>
  </si>
  <si>
    <t>Sh2b2</t>
  </si>
  <si>
    <t>SH2B adaptor protein 2</t>
  </si>
  <si>
    <t>MGI:103298</t>
  </si>
  <si>
    <t>Apobec1</t>
  </si>
  <si>
    <t>Sh3bgrl2</t>
  </si>
  <si>
    <t>SH3 domain binding glutamic acid-rich protein like 2</t>
  </si>
  <si>
    <t>MGI:1298393</t>
  </si>
  <si>
    <t>Sh3pxd2a</t>
  </si>
  <si>
    <t>SH3 and PX domains 2A</t>
  </si>
  <si>
    <t>MGI:97576</t>
  </si>
  <si>
    <t>Phka1</t>
  </si>
  <si>
    <t>phosphorylase kinase alpha 1</t>
  </si>
  <si>
    <t>MGI:1918103</t>
  </si>
  <si>
    <t>Vwa3b</t>
  </si>
  <si>
    <t>von Willebrand factor A domain containing 3B</t>
  </si>
  <si>
    <t>MGI:2685307</t>
  </si>
  <si>
    <t>H1fx</t>
  </si>
  <si>
    <t>MGI:2442728</t>
  </si>
  <si>
    <t>MGI:2441849</t>
  </si>
  <si>
    <t>Lpp</t>
  </si>
  <si>
    <t>LIM domain containing preferred translocation partner in lipoma</t>
  </si>
  <si>
    <t>MGI:1859384</t>
  </si>
  <si>
    <t>Hpgds</t>
  </si>
  <si>
    <t>hematopoietic prostaglandin D synthase</t>
  </si>
  <si>
    <t>MGI:97143</t>
  </si>
  <si>
    <t>Marcksl1</t>
  </si>
  <si>
    <t>MARCKS-like 1</t>
  </si>
  <si>
    <t>MGI:2443764</t>
  </si>
  <si>
    <t>Iqcb1</t>
  </si>
  <si>
    <t>IQ calmodulin-binding motif containing 1</t>
  </si>
  <si>
    <t>MGI:94890</t>
  </si>
  <si>
    <t>Dhfr</t>
  </si>
  <si>
    <t>dihydrofolate reductase</t>
  </si>
  <si>
    <t>MGI:3651543</t>
  </si>
  <si>
    <t>Susd1</t>
  </si>
  <si>
    <t>sushi domain containing 1</t>
  </si>
  <si>
    <t>MGI:1917600</t>
  </si>
  <si>
    <t>Basp1</t>
  </si>
  <si>
    <t>LIM domain only 7</t>
  </si>
  <si>
    <t>MGI:1914536</t>
  </si>
  <si>
    <t>Rabl5</t>
  </si>
  <si>
    <t>MGI:2442264</t>
  </si>
  <si>
    <t>Idi1</t>
  </si>
  <si>
    <t>isopentenyl-diphosphate delta isomerase</t>
  </si>
  <si>
    <t>MGI:1931221</t>
  </si>
  <si>
    <t>Stau2</t>
  </si>
  <si>
    <t>staufen (RNA binding protein) homolog 2 (Drosophila)</t>
  </si>
  <si>
    <t>MGI:1351314</t>
  </si>
  <si>
    <t>Slamf1</t>
  </si>
  <si>
    <t>signaling lymphocytic activation molecule family member 1</t>
  </si>
  <si>
    <t>MGI:104837</t>
  </si>
  <si>
    <t>Amz2</t>
  </si>
  <si>
    <t>RIKEN cDNA 2310014D11 gene</t>
  </si>
  <si>
    <t>MGI:2140359</t>
  </si>
  <si>
    <t>Tmem64</t>
  </si>
  <si>
    <t>transmembrane protein 64</t>
  </si>
  <si>
    <t>MGI:2445077</t>
  </si>
  <si>
    <t>9030625A04Rik</t>
  </si>
  <si>
    <t>RIKEN cDNA 9030625A04 gene</t>
  </si>
  <si>
    <t>MGI:2670995</t>
  </si>
  <si>
    <t>Trp53i11</t>
  </si>
  <si>
    <t>phospholipase C, gamma 2</t>
  </si>
  <si>
    <t>MGI:1920037</t>
  </si>
  <si>
    <t>Tmem48</t>
  </si>
  <si>
    <t>transmembrane protein 48</t>
  </si>
  <si>
    <t>MGI:2444899</t>
  </si>
  <si>
    <t>5031439G07Rik</t>
  </si>
  <si>
    <t>RIKEN cDNA 5031439G07 gene</t>
  </si>
  <si>
    <t>MGI:1350929</t>
  </si>
  <si>
    <t>Asns</t>
  </si>
  <si>
    <t>asparagine synthetase</t>
  </si>
  <si>
    <t>MGI:1916075</t>
  </si>
  <si>
    <t>Mtmr14</t>
  </si>
  <si>
    <t>myotubularin related protein 14</t>
  </si>
  <si>
    <t>MGI:2444223</t>
  </si>
  <si>
    <t>Serinc5</t>
  </si>
  <si>
    <t>MGI:1920024</t>
  </si>
  <si>
    <t>Neil1</t>
  </si>
  <si>
    <t>nei endonuclease VIII-like 1 (E. coli)</t>
  </si>
  <si>
    <t>MGI:95497</t>
  </si>
  <si>
    <t>Fcer2a</t>
  </si>
  <si>
    <t>Fc receptor, IgE, low affinity II, alpha polypeptide</t>
  </si>
  <si>
    <t>MGI:1923799</t>
  </si>
  <si>
    <t>Cecr2</t>
  </si>
  <si>
    <t>cat eye syndrome chromosome region, candidate 2 homolog (human)</t>
  </si>
  <si>
    <t>MGI:2154239</t>
  </si>
  <si>
    <t>Plxnb2</t>
  </si>
  <si>
    <t>plexin B2</t>
  </si>
  <si>
    <t>MGI:108470</t>
  </si>
  <si>
    <t>St6gal1</t>
  </si>
  <si>
    <t>beta galactoside alpha 2,6 sialyltransferase 1</t>
  </si>
  <si>
    <t>Vmn2r96</t>
  </si>
  <si>
    <t>vomeronasal 2, receptor 96</t>
  </si>
  <si>
    <t>MGI:1930079</t>
  </si>
  <si>
    <t>Fads2</t>
  </si>
  <si>
    <t>fatty acid desaturase 2</t>
  </si>
  <si>
    <t>MGI:1919787</t>
  </si>
  <si>
    <t>Cdca2</t>
  </si>
  <si>
    <t>cell division cycle associated 2</t>
  </si>
  <si>
    <t>MGI:2386052</t>
  </si>
  <si>
    <t>Cerk</t>
  </si>
  <si>
    <t>ceramide kinase</t>
  </si>
  <si>
    <t>MGI:1915399</t>
  </si>
  <si>
    <t>Otub2</t>
  </si>
  <si>
    <t>MGI:3037746</t>
  </si>
  <si>
    <t>A530032D15Rik</t>
  </si>
  <si>
    <t>MGI:2159680</t>
  </si>
  <si>
    <t>Havcr1</t>
  </si>
  <si>
    <t>hepatitis A virus cellular receptor 1</t>
  </si>
  <si>
    <t>MGI:1931322</t>
  </si>
  <si>
    <t>Car13</t>
  </si>
  <si>
    <t>carbonic anhydrase 13</t>
  </si>
  <si>
    <t>MGI:1914053</t>
  </si>
  <si>
    <t>8430410A17Rik</t>
  </si>
  <si>
    <t>RIKEN cDNA 8430410A17 gene</t>
  </si>
  <si>
    <t>MGI:2442940</t>
  </si>
  <si>
    <t>Slc41a2</t>
  </si>
  <si>
    <t>solute carrier family 41, member 2</t>
  </si>
  <si>
    <t>MGI:2448476</t>
  </si>
  <si>
    <t>Smagp</t>
  </si>
  <si>
    <t>small cell adhesion glycoprotein</t>
  </si>
  <si>
    <t>MGI:3610314</t>
  </si>
  <si>
    <t>A430084P05Rik</t>
  </si>
  <si>
    <t>RIKEN cDNA A430084P05 gene</t>
  </si>
  <si>
    <t>MGI:95484</t>
  </si>
  <si>
    <t>Fas</t>
  </si>
  <si>
    <t>Fas (TNF receptor superfamily member 6)</t>
  </si>
  <si>
    <t>Rho GTPase activating protein 8</t>
  </si>
  <si>
    <t>MGI:1333828</t>
  </si>
  <si>
    <t>Bfsp2</t>
  </si>
  <si>
    <t>beaded filament structural protein 2, phakinin</t>
  </si>
  <si>
    <t>MGI:1921455</t>
  </si>
  <si>
    <t>Acsl3</t>
  </si>
  <si>
    <t>metastasis suppressor 1</t>
  </si>
  <si>
    <t>MGI:2138986</t>
  </si>
  <si>
    <t>Qser1</t>
  </si>
  <si>
    <t>glutamine and serine rich 1</t>
  </si>
  <si>
    <t>MGI:1914470</t>
  </si>
  <si>
    <t>Plekho1</t>
  </si>
  <si>
    <t>pleckstrin homology domain containing, family O member 1</t>
  </si>
  <si>
    <t>MGI:3040968</t>
  </si>
  <si>
    <t>Clec12a</t>
  </si>
  <si>
    <t>Efnb1</t>
  </si>
  <si>
    <t>ephrin B1</t>
  </si>
  <si>
    <t>MGI:109296</t>
  </si>
  <si>
    <t>Sqle</t>
  </si>
  <si>
    <t>squalene epoxidase</t>
  </si>
  <si>
    <t>MGI:2176740</t>
  </si>
  <si>
    <t>Helq</t>
  </si>
  <si>
    <t>MGI:1919641</t>
  </si>
  <si>
    <t>Cdkn3</t>
  </si>
  <si>
    <t>cyclin-dependent kinase inhibitor 3</t>
  </si>
  <si>
    <t>MGI:102726</t>
  </si>
  <si>
    <t>CD83 antigen</t>
  </si>
  <si>
    <t>MGI:3645298</t>
  </si>
  <si>
    <t>Ighv3-8</t>
  </si>
  <si>
    <t>immunoglobulin heavy variable V3-8</t>
  </si>
  <si>
    <t>MGI:1921346</t>
  </si>
  <si>
    <t>Hvcn1</t>
  </si>
  <si>
    <t>hydrogen voltage-gated channel 1</t>
  </si>
  <si>
    <t>MGI:97746</t>
  </si>
  <si>
    <t>Endou</t>
  </si>
  <si>
    <t>endonuclease, polyU-specific</t>
  </si>
  <si>
    <t>MGI:1919238</t>
  </si>
  <si>
    <t>Esco2</t>
  </si>
  <si>
    <t>protein kinase C, iota</t>
  </si>
  <si>
    <t>protein phosphatase 6, catalytic subunit</t>
  </si>
  <si>
    <t>solute carrier family 31, member 1</t>
  </si>
  <si>
    <t>proteasome (prosome, macropain) 26S subunit, ATPase 3</t>
  </si>
  <si>
    <t>drosha, ribonuclease type III</t>
  </si>
  <si>
    <t>transcriptional regulator, SIN3A (yeast)</t>
  </si>
  <si>
    <t>ATP-binding cassette, sub-family B (MDR/TAP), member 7</t>
  </si>
  <si>
    <t>inner membrane protein, mitochondrial</t>
  </si>
  <si>
    <t>ELAV (embryonic lethal, abnormal vision, Drosophila)-like 1 (Hu antigen R)</t>
  </si>
  <si>
    <t>apolipoprotein B mRNA editing enzyme, catalytic polypeptide 1</t>
  </si>
  <si>
    <t>MGI:1098271</t>
  </si>
  <si>
    <t>Rgs2</t>
  </si>
  <si>
    <t>regulator of G-protein signaling 2</t>
  </si>
  <si>
    <t>MGI:1338938</t>
  </si>
  <si>
    <t>Bmpr1a</t>
  </si>
  <si>
    <t>bone morphogenetic protein receptor, type 1A</t>
  </si>
  <si>
    <t>MGI:1917824</t>
  </si>
  <si>
    <t>Cpm</t>
  </si>
  <si>
    <t>carboxypeptidase M</t>
  </si>
  <si>
    <t>MGI:98938</t>
  </si>
  <si>
    <t>Vpreb3</t>
  </si>
  <si>
    <t>pre-B lymphocyte gene 3</t>
  </si>
  <si>
    <t>These represent gene upregulated in immature activatedd lymphocytes compared to resting immature lymphocytes</t>
    <phoneticPr fontId="4" type="noConversion"/>
  </si>
  <si>
    <t>MGI Gene/Marker ID</t>
  </si>
  <si>
    <t>Symbol</t>
  </si>
  <si>
    <t>Name</t>
  </si>
  <si>
    <t>Feature Type</t>
  </si>
  <si>
    <t>MGI:2180585</t>
  </si>
  <si>
    <t>Rgs13</t>
  </si>
  <si>
    <t>regulator of G-protein signaling 13</t>
  </si>
  <si>
    <t>MGI:96493</t>
  </si>
  <si>
    <t>Igj</t>
  </si>
  <si>
    <t>immunoglobulin joining chain</t>
  </si>
  <si>
    <t>MGI:1342279</t>
  </si>
  <si>
    <t>Aicda</t>
  </si>
  <si>
    <t>activation-induced cytidine deaminase</t>
  </si>
  <si>
    <t>MGI:99925</t>
  </si>
  <si>
    <t>Mybl1</t>
  </si>
  <si>
    <t>brain abundant, membrane attached signal protein 1</t>
  </si>
  <si>
    <t>MGI:1918898</t>
  </si>
  <si>
    <t>Optn</t>
  </si>
  <si>
    <t>optineurin</t>
  </si>
  <si>
    <t>MGI:1917811</t>
  </si>
  <si>
    <t>Txndc16</t>
  </si>
  <si>
    <t>thioredoxin domain containing 16</t>
  </si>
  <si>
    <t>MGI:1352508</t>
  </si>
  <si>
    <t>predicted gene 600</t>
  </si>
  <si>
    <t>MGI:3028579</t>
  </si>
  <si>
    <t>Rasgrp3</t>
  </si>
  <si>
    <t>RAS, guanyl releasing protein 3</t>
  </si>
  <si>
    <t>MGI:102969</t>
  </si>
  <si>
    <t>Gcet2</t>
  </si>
  <si>
    <t>germinal center expressed transcript 2</t>
  </si>
  <si>
    <t>MGI:1920496</t>
  </si>
  <si>
    <t>Rassf6</t>
  </si>
  <si>
    <t>archaelysin family metallopeptidase 2</t>
  </si>
  <si>
    <t>MGI:1922394</t>
  </si>
  <si>
    <t>Pdzd2</t>
  </si>
  <si>
    <t>PDZ domain containing 2</t>
  </si>
  <si>
    <t>MGI:96024</t>
  </si>
  <si>
    <t>Hbb-bh1</t>
  </si>
  <si>
    <t>MGI:2181676</t>
  </si>
  <si>
    <t>Ccrl1</t>
  </si>
  <si>
    <t>chemokine (C-C motif) receptor-like 1</t>
  </si>
  <si>
    <t>MGI:97616</t>
  </si>
  <si>
    <t>Plcg2</t>
  </si>
  <si>
    <t>Bcl6</t>
  </si>
  <si>
    <t>B-cell leukemia/lymphoma 6</t>
  </si>
  <si>
    <t>MGI:1343124</t>
  </si>
  <si>
    <t>Hpse</t>
  </si>
  <si>
    <t>heparanase</t>
  </si>
  <si>
    <t>MGI:1914342</t>
  </si>
  <si>
    <t>Gatm</t>
  </si>
  <si>
    <t>glycine amidinotransferase (L-arginine:glycine amidinotransferase)</t>
  </si>
  <si>
    <t>PDS5, regulator of cohesion maintenance, homolog A (S. cerevisiae)</t>
  </si>
  <si>
    <t>pyruvate dehydrogenase kinase, isoenzyme 3</t>
  </si>
  <si>
    <t>proteasome (prosome, macropain) 26S subunit, ATPase, 6</t>
  </si>
  <si>
    <t>TAF6 RNA polymerase II, TATA box binding protein (TBP)-associated factor</t>
  </si>
  <si>
    <t>proteasome (prosome, macropain) subunit, beta type 7</t>
  </si>
  <si>
    <t>COP9 (constitutive photomorphogenic) homolog, subunit 2 (Arabidopsis thaliana)</t>
  </si>
  <si>
    <t>extracellular matrix protein 2, female organ and adipocyte specific</t>
  </si>
  <si>
    <t>MGI:2146616</t>
  </si>
  <si>
    <t>Eaf2</t>
  </si>
  <si>
    <t>ELL associated factor 2</t>
  </si>
  <si>
    <t>MGI:3642664</t>
  </si>
  <si>
    <t>D130062J21Rik</t>
  </si>
  <si>
    <t>RIKEN cDNA D130062J21 gene</t>
  </si>
  <si>
    <t>MGI:98282</t>
  </si>
  <si>
    <t>Sfpi1</t>
  </si>
  <si>
    <t>SFFV proviral integration 1</t>
  </si>
  <si>
    <t>MGI:1923235</t>
  </si>
  <si>
    <t>Rab30</t>
  </si>
  <si>
    <t>RAB30, member RAS oncogene family</t>
  </si>
  <si>
    <t>MGI:2444273</t>
  </si>
  <si>
    <t>Dennd5b</t>
  </si>
  <si>
    <t>DENN/MADD domain containing 5B</t>
  </si>
  <si>
    <t>non-SMC element 2 homolog (MMS21, S. cerevisiae)</t>
  </si>
  <si>
    <t>zinc finger, CCHC domain containing 17</t>
  </si>
  <si>
    <t>DNA segment, Chr 3, ERATO Doi 751, expressed</t>
  </si>
  <si>
    <t>sirtuin 1 (silent mating type information regulation 2, homolog) 1 (S. cerevisiae)</t>
  </si>
  <si>
    <t>UTP15, U3 small nucleolar ribonucleoprotein, homolog (yeast)</t>
  </si>
  <si>
    <t>TBC1 domain family, member 1</t>
  </si>
  <si>
    <t>proteasome (prosome, macropain) 26S subunit, non-ATPase, 2</t>
  </si>
  <si>
    <t>MGI:87916</t>
  </si>
  <si>
    <t>Ada</t>
  </si>
  <si>
    <t>adenosine deaminase</t>
  </si>
  <si>
    <t>MGI:2138069</t>
  </si>
  <si>
    <t>Hmgn3</t>
  </si>
  <si>
    <t>high mobility group nucleosomal binding domain 3</t>
  </si>
  <si>
    <t>MGI:2384818</t>
  </si>
  <si>
    <t>Mtss1</t>
  </si>
  <si>
    <t>mediator of RNA polymerase II transcription, subunit 18 homolog (yeast)</t>
  </si>
  <si>
    <t>4HAUS augmin-like complex, subunit 8</t>
  </si>
  <si>
    <t>meiosis-specific, MEI4 homolog (S. cerevisiae)</t>
  </si>
  <si>
    <t>THAP domain containing, apoptosis associated protein 2</t>
  </si>
  <si>
    <t>C-type lectin domain family 12, member a</t>
  </si>
  <si>
    <t>MGI:109359</t>
  </si>
  <si>
    <t>Nek2</t>
  </si>
  <si>
    <t>NIMA (never in mitosis gene a)-related expressed kinase 2</t>
  </si>
  <si>
    <t>MGI:1921357</t>
  </si>
  <si>
    <t>Cep55</t>
  </si>
  <si>
    <t>centrosomal protein 55</t>
  </si>
  <si>
    <t>MGI:1328316</t>
  </si>
  <si>
    <t>Cd83</t>
  </si>
  <si>
    <t>transcription factor A, mitochondrial</t>
  </si>
  <si>
    <t>processing of precursor 4, ribonuclease P/MRP family, (S. cerevisiae)</t>
  </si>
  <si>
    <t>protein kinase, cAMP dependent, catalytic, alpha</t>
  </si>
  <si>
    <t>DEAD/H (Asp-Glu-Ala-Asp/His) box polypeptide 11 (CHL1-like helicase homolog, S. cerevisiae)</t>
  </si>
  <si>
    <t>nuclear factor of activated T-cells, cytoplasmic, calcineurin-dependent 2 interacting protein</t>
  </si>
  <si>
    <t>vomeronasal 2, receptor, pseudogene 14</t>
  </si>
  <si>
    <t>NADH dehydrogenase (ubiquinone) 1 alpha subcomplex, 9</t>
  </si>
  <si>
    <t>family with sequence similarity 122, member B</t>
  </si>
  <si>
    <t>general transcription factor II A, 2</t>
  </si>
  <si>
    <t>family with sequence similarity 110, member A</t>
  </si>
  <si>
    <t>non-metastatic cells 7, protein expressed in (nucleoside-diphosphate kinase)</t>
  </si>
  <si>
    <t>mediator of RNA polymerase II transcription, subunit 6 homolog (yeast)</t>
  </si>
  <si>
    <t>solute carrier family 20, member 2</t>
  </si>
  <si>
    <t>solute carrier family 39 (zinc transporter), member 9</t>
  </si>
  <si>
    <t>phosphatidylinositol transfer protein, beta</t>
  </si>
  <si>
    <t>prenyl (solanesyl) diphosphate synthase, subunit 1</t>
  </si>
  <si>
    <t>tubulin, delta 1</t>
  </si>
  <si>
    <t>general transcription factor II E, polypeptide 2 (beta subunit)</t>
  </si>
  <si>
    <t>protein phosphatase 1, catalytic subunit, gamma isoform</t>
  </si>
  <si>
    <t>family with sequence similarity 20, member B</t>
  </si>
  <si>
    <t>proteasome (prosome, macropain) assembly chaperone 1</t>
  </si>
  <si>
    <t>bromodomain adjacent to zinc finger domain, 1B</t>
  </si>
  <si>
    <t>synovial sarcoma, X breakpoint 2 interacting protein</t>
  </si>
  <si>
    <t>myeloblastosis oncogene-like 1</t>
  </si>
  <si>
    <t>MGI:3704124</t>
  </si>
  <si>
    <t>Ighv1-43</t>
  </si>
  <si>
    <t>immunoglobulin heavy variable V1-43</t>
  </si>
  <si>
    <t>gene segment</t>
  </si>
  <si>
    <t>MGI:2685446</t>
  </si>
  <si>
    <t>Gm600</t>
  </si>
  <si>
    <t>adaptor-related protein complex AP-4, epsilon 1</t>
  </si>
  <si>
    <t>deleted in lymphocytic leukemia, 2</t>
  </si>
  <si>
    <t>lincRNA gene</t>
  </si>
  <si>
    <t>acidic (leucine-rich) nuclear phosphoprotein 32 family, pseudogene</t>
  </si>
  <si>
    <t>Ras association (RalGDS/AF-6) domain family member 6</t>
  </si>
  <si>
    <t>MGI:105086</t>
  </si>
  <si>
    <t>Pou2af1</t>
  </si>
  <si>
    <t>POU domain, class 2, associating factor 1</t>
  </si>
  <si>
    <t>MGI:107187</t>
  </si>
  <si>
    <t>COP9 (constitutive photomorphogenic) homolog, subunit 3 (Arabidopsis thaliana)</t>
  </si>
  <si>
    <t>family with sequence similarity 126, member B</t>
  </si>
  <si>
    <t>membrane protein, palmitoylated 5 (MAGUK p55 subfamily member 5)</t>
  </si>
  <si>
    <t>neural precursor cell expressed, developmentally down-regulated gene 1</t>
  </si>
  <si>
    <t>family with sequence similarity 83, member D</t>
  </si>
  <si>
    <t>phosphodiesterase 5A, cGMP-specific</t>
  </si>
  <si>
    <t>transcription termination factor, RNA polymerase II</t>
  </si>
  <si>
    <t>family with sequence similarity 33, member A</t>
  </si>
  <si>
    <t>methylenetetrahydrofolate dehydrogenase (NAD+ dependent), methenyltetrahydrofolate cyclohydrolase</t>
  </si>
  <si>
    <t>exportin 1, CRM1 homolog (yeast)</t>
  </si>
  <si>
    <t>zinc finger, RAN-binding domain containing 3</t>
  </si>
  <si>
    <t>spindle and kinetochore associated complex subunit 2-like, pseudogene</t>
  </si>
  <si>
    <t>RMI1, RecQ mediated genome instability 1, homolog (S. cerevisiae)</t>
  </si>
  <si>
    <t>splicing factor 3a, subunit 1</t>
  </si>
  <si>
    <t>PDS5, regulator of cohesion maintenance, homolog B (S. cerevisiae)</t>
  </si>
  <si>
    <t>general transcription factor IIIC, polypeptide 5</t>
  </si>
  <si>
    <t>protein kinase, AMP-activated, gamma 1 non-catalytic subunit</t>
  </si>
  <si>
    <t>LSM2 homolog, U6 small nuclear RNA associated (S. cerevisiae)</t>
  </si>
  <si>
    <t>histone cluster 1, H4i</t>
  </si>
  <si>
    <t>Alport syndrome, mental retardation, midface hypoplasia and elliptocytosis chromosomal region gene 1 homolog (human)</t>
  </si>
  <si>
    <t>HAUS augmin-like complex, subunit 5</t>
  </si>
  <si>
    <t>H2A histone family, member V</t>
  </si>
  <si>
    <t>non-SMC condensin II complex, subunit D3</t>
  </si>
  <si>
    <t>zinc finger protein, multitype 1</t>
  </si>
  <si>
    <t>HAUS augmin-like complex, subunit 7</t>
  </si>
  <si>
    <t>tonsoku-like, DNA repair protein</t>
  </si>
  <si>
    <t>cleavage stimulation factor, 3' pre-RNA, subunit 1</t>
  </si>
  <si>
    <t>tyrosine 3-monooxygenase/tryptophan 5-monooxygenase activation protein, eta polypeptide</t>
  </si>
  <si>
    <t>TAF5 RNA polymerase II, TATA box binding protein (TBP)-associated factor</t>
  </si>
  <si>
    <t>tubulin, beta 5</t>
  </si>
  <si>
    <t>histone cluster 3, H2a</t>
  </si>
  <si>
    <t>HAUS augmin-like complex, subunit 6</t>
  </si>
  <si>
    <t>tubulin, gamma 1</t>
  </si>
  <si>
    <t>phosphatidylinositol glycan anchor biosynthesis, class A</t>
  </si>
  <si>
    <t>acid phosphatase 1, soluble</t>
  </si>
  <si>
    <t>leucyl-tRNA synthetase, mitochondrial</t>
  </si>
  <si>
    <t>La ribonucleoprotein domain family, member 1B</t>
  </si>
  <si>
    <t>ZW10 homolog (Drosophila), centromere/kinetochore protein</t>
  </si>
  <si>
    <t>DNA segment, Chr 6, Wayne State University 163, expressed</t>
  </si>
  <si>
    <t>histone cluster 1, H2ba</t>
  </si>
  <si>
    <t>non-SMC condensin II complex, subunit H2</t>
  </si>
  <si>
    <t>apolipoprotein O, pseudogene</t>
  </si>
  <si>
    <t>heat shock protein 90, alpha (cytosolic), class A member 1</t>
  </si>
  <si>
    <t>protein tyrosine phosphatase, non-receptor type 3</t>
  </si>
  <si>
    <t>DNA primase, p58 subunit</t>
  </si>
  <si>
    <t>Bloom syndrome, RecQ helicase-like</t>
  </si>
  <si>
    <t>Mdm2, transformed 3T3 cell double minute p53 binding protein</t>
  </si>
  <si>
    <t>NSL1, MIND kinetochore complex component, homolog (S. cerevisiae)</t>
  </si>
  <si>
    <t>ornithine decarboxylase, structural 1</t>
  </si>
  <si>
    <t>histone cluster 1, H1e</t>
  </si>
  <si>
    <t>heat shock protein 90, beta (Grp94), member 1</t>
  </si>
  <si>
    <t>glutamate-cysteine ligase, modifier subunit</t>
  </si>
  <si>
    <t>protease (prosome, macropain) 26S subunit, ATPase 1</t>
  </si>
  <si>
    <t>general transcription factor IIF, polypeptide 1</t>
  </si>
  <si>
    <t>TAF1 RNA polymerase II, TATA box binding protein (TBP)-associated factor</t>
  </si>
  <si>
    <t>galactosidase, alpha</t>
  </si>
  <si>
    <t>solute carrier family 29 (nucleoside transporters), member 1</t>
  </si>
  <si>
    <t>membrane protein, palmitoylated 6 (MAGUK p55 subfamily member 6)</t>
  </si>
  <si>
    <t>cytochrome c oxidase, subunit Va</t>
  </si>
  <si>
    <t>family with sequence similarity 188, member A</t>
  </si>
  <si>
    <t>acidic (leucine-rich) nuclear phosphoprotein 32 family, member B</t>
  </si>
  <si>
    <t>ATPase, Ca++ transporting, cardiac muscle, slow twitch 2</t>
  </si>
  <si>
    <t>proteasome (prosome, macropain) 26S subunit, non-ATPase, 1</t>
  </si>
  <si>
    <t>lectin, mannose-binding, 1</t>
  </si>
  <si>
    <t>tyrosine 3-monooxygenase/tryptophan 5-monooxygenase activation protein, epsilon polypeptide</t>
  </si>
  <si>
    <t>lon peptidase 1, mitochondrial</t>
  </si>
  <si>
    <t>HECT domain and ankyrin repeat containing, E3 ubiquitin protein ligase 1</t>
  </si>
  <si>
    <t>apoptosis-inducing factor, mitochondrion-associated 1</t>
  </si>
  <si>
    <t>signal sequence receptor, alpha</t>
  </si>
  <si>
    <t>coronin, actin binding protein 1C</t>
  </si>
  <si>
    <t>These represent genes upregulated in activated T cell and NK cells vs resting mature T cell and NK cells.</t>
    <phoneticPr fontId="4" type="noConversion"/>
  </si>
  <si>
    <t>proteasome (prosome, macropain) 26S subunit, ATPase, 4</t>
  </si>
  <si>
    <t>centrobin, centrosomal BRCA2 interacting protein</t>
  </si>
  <si>
    <t>histone cluster 1, H4d</t>
  </si>
  <si>
    <t>tubulin, beta 2C</t>
  </si>
  <si>
    <t>DNA segment, Chr 2, ERATO Doi 750, expressed</t>
  </si>
  <si>
    <t>histone cluster 2, H4</t>
  </si>
  <si>
    <t>tubulin, alpha 1B</t>
  </si>
  <si>
    <t>family with sequence similarity 64, member A</t>
  </si>
  <si>
    <t>H2A histone family, member Z</t>
  </si>
  <si>
    <t>Columns A-J are Genes up-regulated in GC B cells compared to all mature immune cells+some immature B cells (Original data set)</t>
    <phoneticPr fontId="4" type="noConversion"/>
  </si>
  <si>
    <t>histone cluster 1, H1b</t>
  </si>
  <si>
    <t>protein coding gene</t>
  </si>
  <si>
    <t>TPX2, microtubule-associated protein homolog (Xenopus laevis)</t>
  </si>
  <si>
    <t>histone cluster 1, H2ab</t>
  </si>
  <si>
    <t>budding uninhibited by benzimidazoles 1 homolog, beta (S. cerevisiae)</t>
  </si>
  <si>
    <t>histone cluster 1, H2af</t>
  </si>
  <si>
    <t>pseudogene</t>
  </si>
  <si>
    <t>solute carrier family 16 (monocarboxylic acid transporters), member 1</t>
  </si>
  <si>
    <t>histone cluster 1, H2bh</t>
  </si>
  <si>
    <t>SPC24, NDC80 kinetochore complex component, homolog (S. cerevisiae)</t>
  </si>
  <si>
    <t>histone cluster 1, H3g</t>
  </si>
  <si>
    <t>acidic (leucine-rich) nuclear phosphoprotein 32 family, member E</t>
  </si>
  <si>
    <t>SPC25, NDC80 kinetochore complex component, homolog (S. cerevisiae)</t>
  </si>
  <si>
    <t>discs, large (Drosophila) homolog-associated protein 5</t>
  </si>
  <si>
    <t>non-SMC condensin I complex, subunit D2</t>
  </si>
  <si>
    <t>histone cluster 1, H2an</t>
  </si>
  <si>
    <t>transforming, acidic coiled-coil containing protein 3</t>
  </si>
  <si>
    <t>DNA primase, p49 subunit</t>
  </si>
  <si>
    <t>histone cluster 1, H2bm</t>
  </si>
  <si>
    <t>ligase I, DNA, ATP-dependent</t>
  </si>
  <si>
    <t>histone cluster 1, H2ap</t>
  </si>
  <si>
    <t>solute carrier family 43, member 3</t>
  </si>
  <si>
    <t>histone cluster 1, H3a</t>
  </si>
  <si>
    <t>CTF18, chromosome transmission fidelity factor 18 homolog (S. cerevisiae)</t>
  </si>
  <si>
    <t>solute carrier family 35 (UDP-N-acetylglucosamine (UDP-GlcNAc) transporter), member 3</t>
  </si>
  <si>
    <t>POU domain, class 2, transcription factor 1</t>
  </si>
  <si>
    <t>histone cluster 1, H4b</t>
  </si>
  <si>
    <t>capping protein (actin filament), gelsolin-like</t>
  </si>
  <si>
    <t>histone cluster 1, H2bq</t>
  </si>
  <si>
    <t>No associated gene</t>
  </si>
  <si>
    <t>helicase, POLQ-like</t>
  </si>
  <si>
    <t>H2A histone family, member X</t>
  </si>
  <si>
    <t>HAUS augmin-like complex, subunit 4</t>
  </si>
  <si>
    <t>cytochrome P450, family 39, subfamily a, polypeptide 1</t>
  </si>
  <si>
    <t>histone cluster 3, H2bb, pseudogene</t>
  </si>
  <si>
    <t>minichromosome maintenance deficient 6 (MIS5 homolog, S. pombe) (S. cerevisiae)</t>
  </si>
  <si>
    <t>histone cluster 2, H2aa1</t>
  </si>
  <si>
    <t>histone cluster 2, H2ac</t>
  </si>
  <si>
    <t>ribonuclease H2, subunit B</t>
  </si>
  <si>
    <t>cyclin-dependent kinase inhibitor 2C (p18, inhibits CDK4)</t>
  </si>
  <si>
    <t>G-protein signalling modulator 2 (AGS3-like, C. elegans)</t>
  </si>
  <si>
    <t>H1 histone family, member X</t>
  </si>
  <si>
    <t>chromatin assembly factor 1, subunit A (p150)</t>
  </si>
  <si>
    <t>origin recognition complex, subunit 6</t>
  </si>
  <si>
    <t>NDC80 homolog, kinetochore complex component (S. cerevisiae)</t>
  </si>
  <si>
    <t>Fanconi anemia, complementation group I</t>
  </si>
  <si>
    <t>Affy ID</t>
    <phoneticPr fontId="4" type="noConversion"/>
  </si>
  <si>
    <t>type</t>
    <phoneticPr fontId="4" type="noConversion"/>
  </si>
  <si>
    <t>MGI ID</t>
    <phoneticPr fontId="4" type="noConversion"/>
  </si>
  <si>
    <t>name</t>
    <phoneticPr fontId="4" type="noConversion"/>
  </si>
  <si>
    <t>DNA segment, Chr 17, human D6S56E 5</t>
  </si>
  <si>
    <t>unclassified gene</t>
  </si>
  <si>
    <t>Fanconi anemia, complementation group A</t>
  </si>
  <si>
    <t>eukaryotic translation initiation factor 2, subunit 2 (beta)</t>
  </si>
  <si>
    <t>polymerase (DNA-directed), delta 3, accessory subunit</t>
  </si>
  <si>
    <t>family with sequence similarity 72, member A</t>
  </si>
  <si>
    <t>ATPase family, AAA domain containing 2</t>
  </si>
  <si>
    <t>DSN1, MIND kinetochore complex component, homolog (S. cerevisiae)</t>
  </si>
  <si>
    <t>N(alpha)-acetyltransferase 40, NatD catalytic subunit, homolog (S. cerevisiae)</t>
  </si>
  <si>
    <t>origin recognition complex, subunit 1</t>
  </si>
  <si>
    <t>ATPase family, AAA domain containing 1</t>
  </si>
  <si>
    <t>zinc finger, CCHC domain containing 10</t>
  </si>
  <si>
    <t>branched chain aminotransferase 1, cytosolic</t>
  </si>
  <si>
    <t>La ribonucleoprotein domain family, member 7</t>
  </si>
  <si>
    <t>DnaJ (Hsp40) homolog, subfamily B, member 11</t>
  </si>
  <si>
    <t>proteasome (prosome, macropain) subunit, beta type 4</t>
  </si>
  <si>
    <t>guanine nucleotide binding protein (G protein), gamma 2</t>
  </si>
  <si>
    <t>TAF15 RNA polymerase II, TATA box binding protein (TBP)-associated factor</t>
  </si>
  <si>
    <t>non-SMC condensin I complex, subunit G</t>
  </si>
  <si>
    <t>NUF2, NDC80 kinetochore complex component, homolog (S. cerevisiae)</t>
  </si>
  <si>
    <t>non-SMC condensin II complex, subunit G2</t>
  </si>
  <si>
    <t>helicase, lymphoid specific</t>
  </si>
  <si>
    <t>histone cluster 2, H2bb</t>
  </si>
  <si>
    <t>ubiquitin-like, containing PHD and RING finger domains, 1</t>
  </si>
  <si>
    <t>polymerase (DNA directed), epsilon</t>
  </si>
  <si>
    <t>polymerase (DNA directed), eta (RAD 30 related)</t>
  </si>
  <si>
    <t>asp (abnormal spindle)-like, microcephaly associated (Drosophila)</t>
  </si>
  <si>
    <t>polymerase (DNA directed), alpha 1</t>
  </si>
  <si>
    <t>Gen homolog 1, endonuclease (Drosophila)</t>
  </si>
  <si>
    <t>ATPase family, AAA domain containing 5</t>
  </si>
  <si>
    <t>Zwilch, kinetochore associated, homolog (Drosophila)</t>
  </si>
  <si>
    <t xml:space="preserve">Act. Mature Lymphocyte </t>
    <phoneticPr fontId="4" type="noConversion"/>
  </si>
  <si>
    <t>Match between Upregulated GC- B cell genes &amp;:</t>
    <phoneticPr fontId="4" type="noConversion"/>
  </si>
  <si>
    <t>Match between Upregulated GC- B cell genes &amp;:</t>
    <phoneticPr fontId="4" type="noConversion"/>
  </si>
  <si>
    <t>MGI:1930197</t>
  </si>
  <si>
    <t>MGI:1915276</t>
  </si>
  <si>
    <t>MGI:1914227</t>
  </si>
  <si>
    <t>MGI:108389</t>
  </si>
  <si>
    <t>MGI:107477</t>
  </si>
  <si>
    <t>MGI:1923294</t>
  </si>
  <si>
    <t>MGI:1922038</t>
  </si>
  <si>
    <t>MGI:106209</t>
  </si>
  <si>
    <t>MGI:1338802</t>
  </si>
  <si>
    <t>MGI:1923714</t>
  </si>
  <si>
    <t>MGI:1201682</t>
  </si>
  <si>
    <t>MGI:104667</t>
  </si>
  <si>
    <t>MGI:1924093</t>
  </si>
  <si>
    <t>MGI:1098258</t>
  </si>
  <si>
    <t>histone cluster 1, H1a</t>
  </si>
  <si>
    <t>histone cluster 1, H2bb</t>
  </si>
  <si>
    <t>histone cluster 2, H3b</t>
  </si>
  <si>
    <t>histone cluster 1, H2ak</t>
  </si>
  <si>
    <t>histone cluster 1, H4f</t>
  </si>
  <si>
    <t>anillin, actin binding protein</t>
  </si>
  <si>
    <t>non-SMC condensin I complex, subunit H</t>
  </si>
  <si>
    <t>MGI:2443149</t>
  </si>
  <si>
    <t>MGI:1914371</t>
  </si>
  <si>
    <t>MGI:2384588</t>
  </si>
  <si>
    <t>MGI:2442836</t>
  </si>
  <si>
    <t>MGI:1924261</t>
  </si>
  <si>
    <t>MGI:1919405</t>
  </si>
  <si>
    <t>MGI:2442925</t>
  </si>
  <si>
    <t>MGI:1329034</t>
  </si>
  <si>
    <t>MGI:1915264</t>
  </si>
  <si>
    <t>MGI:1194921</t>
  </si>
  <si>
    <t>MGI:2147897</t>
  </si>
  <si>
    <t>MGI:97890</t>
  </si>
  <si>
    <t>MGI:2445153</t>
  </si>
  <si>
    <t>MGI:88350</t>
  </si>
  <si>
    <t>MGI:2446977</t>
  </si>
  <si>
    <t>MGI:104537</t>
  </si>
  <si>
    <t>MGI:894697</t>
  </si>
  <si>
    <t>MGI:101845</t>
  </si>
  <si>
    <t>MGI:1916966</t>
  </si>
  <si>
    <t>MGI:1203517</t>
  </si>
  <si>
    <t>MGI:105380</t>
  </si>
  <si>
    <t>MGI:1917274</t>
  </si>
  <si>
    <t>MGI:103197</t>
  </si>
  <si>
    <t>MGI:109372</t>
  </si>
  <si>
    <t>MGI:99701</t>
  </si>
  <si>
    <t>MGI:2443514</t>
  </si>
  <si>
    <t>MGI:96795</t>
  </si>
  <si>
    <t>MGI:1328361</t>
  </si>
  <si>
    <t>MGI:1315198</t>
  </si>
  <si>
    <t>MGI:2448480</t>
  </si>
  <si>
    <t>MGI:101783</t>
  </si>
  <si>
    <t>MGI:1338073</t>
  </si>
  <si>
    <t>MGI:2684980</t>
  </si>
  <si>
    <t>interleukin 2 receptor, alpha chain</t>
  </si>
  <si>
    <t>chromatin assembly factor 1, subunit B (p60)</t>
  </si>
  <si>
    <t>family with sequence similarity 54, member A</t>
  </si>
  <si>
    <t>histone cluster 1, H4m</t>
  </si>
  <si>
    <t>sema domain, immunoglobulin domain (Ig), and GPI membrane anchor, (semaphorin) 7A</t>
  </si>
  <si>
    <t>These represent genes upregulated in GC B-cell vs immature Activated Immune cells, MZ B cell</t>
    <phoneticPr fontId="4" type="noConversion"/>
  </si>
  <si>
    <t>GC-Bcell vs actMature</t>
    <phoneticPr fontId="4" type="noConversion"/>
  </si>
  <si>
    <t>GC-Bcell vs ActImm</t>
    <phoneticPr fontId="4" type="noConversion"/>
  </si>
  <si>
    <t>Fanconi anemia, complementation group M</t>
  </si>
  <si>
    <t>OTU domain, ubiquitin aldehyde binding 2</t>
  </si>
  <si>
    <t>minichromosome maintenance deficient 5, cell division cycle 46 (S. cerevisiae)</t>
  </si>
  <si>
    <t>Fanconi anemia, complementation group D2</t>
  </si>
  <si>
    <t>MMS22-like, DNA repair protein</t>
  </si>
  <si>
    <t>hemoglobin Z, beta-like embryonic chain</t>
  </si>
  <si>
    <t>histone cluster 2, H3c1</t>
  </si>
  <si>
    <t>symbol</t>
    <phoneticPr fontId="4" type="noConversion"/>
  </si>
  <si>
    <t>MGI:1338889</t>
  </si>
  <si>
    <t>MGI:98181</t>
  </si>
  <si>
    <t>MGI:1202065</t>
  </si>
  <si>
    <t>MGI:2673709</t>
  </si>
  <si>
    <t>MGI:1922567</t>
  </si>
  <si>
    <t>MGI:1860374</t>
  </si>
  <si>
    <t>MGI:1890648</t>
  </si>
  <si>
    <t>MGI:1196391</t>
  </si>
  <si>
    <t>MGI:1926210</t>
  </si>
  <si>
    <t>MGI:1349448</t>
  </si>
  <si>
    <t>MGI:1334448</t>
  </si>
  <si>
    <t>MGI:99660</t>
  </si>
  <si>
    <t>MGI:1914179</t>
  </si>
  <si>
    <t>MGI:1921571</t>
  </si>
  <si>
    <t>Affy ID</t>
    <phoneticPr fontId="4" type="noConversion"/>
  </si>
  <si>
    <t>gene segment</t>
    <phoneticPr fontId="4" type="noConversion"/>
  </si>
  <si>
    <t>* Probe maps to two different immunoglobulin kappa chain variable gene segments</t>
    <phoneticPr fontId="4" type="noConversion"/>
  </si>
  <si>
    <t>Fanconi anemia, complementation group B</t>
  </si>
  <si>
    <t>apoptosis-inducing, TAF9-like domain 1</t>
  </si>
  <si>
    <t>solute carrier family 25 (mitochondrial thiamine pyrophosphate carrier), member 19</t>
  </si>
  <si>
    <t>polymerase (DNA directed), theta</t>
  </si>
  <si>
    <t>RAB, member of RAS oncogene family-like 5</t>
  </si>
  <si>
    <t>MGI:1926186</t>
  </si>
  <si>
    <t>MGI:1309511</t>
  </si>
  <si>
    <t>MGI:1916520</t>
  </si>
  <si>
    <t>MGI:2442964</t>
  </si>
  <si>
    <t>MGI:1919862</t>
  </si>
  <si>
    <t>MGI:1923373</t>
  </si>
  <si>
    <t>MGI:1349427</t>
  </si>
  <si>
    <t>MGI:103199</t>
  </si>
  <si>
    <t>MGI:1351331</t>
  </si>
  <si>
    <t>MGI:2183441</t>
  </si>
  <si>
    <t>MGI:1351328</t>
  </si>
  <si>
    <t>MGI:1929285</t>
  </si>
  <si>
    <t>MGI:1914302</t>
  </si>
  <si>
    <t>MGI:1918893</t>
  </si>
  <si>
    <t>MGI:2384790</t>
  </si>
  <si>
    <t>MGI:2448558</t>
  </si>
  <si>
    <t>MGI:2442484</t>
  </si>
  <si>
    <t>MGI:1916956</t>
  </si>
  <si>
    <t>MGI:1098224</t>
  </si>
  <si>
    <t>MGI:1917895</t>
  </si>
  <si>
    <t>MGI:94912</t>
  </si>
  <si>
    <t>MGI:108402</t>
  </si>
  <si>
    <t>MGI:101785</t>
  </si>
  <si>
    <t>MGI:1913586</t>
  </si>
  <si>
    <t>MGI:105313</t>
  </si>
  <si>
    <t>MGI:1346051</t>
  </si>
  <si>
    <t>MGI:3605986</t>
  </si>
  <si>
    <t>MGI:1916066</t>
  </si>
  <si>
    <t>MGI:2155399</t>
  </si>
  <si>
    <t>MGI:1917722</t>
  </si>
  <si>
    <t>MGI:1914184</t>
  </si>
  <si>
    <t>MGI:2150020</t>
  </si>
  <si>
    <t>MGI:109337</t>
  </si>
  <si>
    <t>MGI:3576783</t>
  </si>
  <si>
    <t>MGI:2155936</t>
  </si>
  <si>
    <t>MGI:2384584</t>
  </si>
  <si>
    <t>MGI:2141942</t>
  </si>
  <si>
    <t>MGI:101941</t>
  </si>
  <si>
    <t>MGI:1099436</t>
  </si>
  <si>
    <t>MGI:1328337</t>
  </si>
  <si>
    <t>MGI:2153072</t>
  </si>
  <si>
    <t>MGI:1920018</t>
  </si>
  <si>
    <t>MGI:1915451</t>
  </si>
  <si>
    <t>MGI:1913884</t>
  </si>
  <si>
    <t>MGI:2385198</t>
  </si>
  <si>
    <t>MGI:1890476</t>
  </si>
  <si>
    <t>MGI:1919401</t>
  </si>
  <si>
    <t>MGI:2387601</t>
  </si>
  <si>
    <t>MGI:104861</t>
  </si>
  <si>
    <t>MGI:1919126</t>
  </si>
  <si>
    <t>MGI:107634</t>
  </si>
  <si>
    <t>MGI:1289147</t>
  </si>
  <si>
    <t>MGI:1914983</t>
  </si>
  <si>
    <t>MGI:1889507</t>
  </si>
  <si>
    <t>MGI:1934835</t>
  </si>
  <si>
    <t>MGI:95564</t>
  </si>
  <si>
    <t>MGI:109527</t>
  </si>
  <si>
    <t>MGI:2685663</t>
  </si>
  <si>
    <t>MGI:1196403</t>
  </si>
  <si>
    <t>MGI:99925</t>
    <phoneticPr fontId="4" type="noConversion"/>
  </si>
  <si>
    <t>transient receptor potential cation channel, subfamily C, member 2</t>
  </si>
  <si>
    <t>glucosaminyl (N-acetyl) transferase 3, mucin type</t>
  </si>
  <si>
    <t>phospholipase A2, group IVC (cytosolic, calcium-independent)</t>
  </si>
  <si>
    <t>lipase, hepatic</t>
  </si>
  <si>
    <t>FoldChange</t>
  </si>
  <si>
    <t>Stdv</t>
  </si>
  <si>
    <t>Act. Immature Lymp.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</si>
</sst>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</numFmts>
  <fonts count="5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168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U237"/>
  <sheetViews>
    <sheetView topLeftCell="D221" workbookViewId="0">
      <selection activeCell="E6" sqref="E6:E237"/>
    </sheetView>
  </sheetViews>
  <sheetFormatPr baseColWidth="10" defaultRowHeight="13"/>
  <cols>
    <col min="8" max="8" width="15" customWidth="1"/>
    <col min="15" max="15" width="18.140625" customWidth="1"/>
    <col min="17" max="17" width="17.85546875" customWidth="1"/>
  </cols>
  <sheetData>
    <row r="3" spans="1:21">
      <c r="A3" s="1" t="s">
        <v>2008</v>
      </c>
      <c r="O3" s="4"/>
    </row>
    <row r="4" spans="1:21">
      <c r="O4" s="5" t="s">
        <v>2091</v>
      </c>
      <c r="S4" s="5" t="s">
        <v>2092</v>
      </c>
    </row>
    <row r="5" spans="1:21">
      <c r="A5" t="s">
        <v>2055</v>
      </c>
      <c r="B5" t="s">
        <v>2249</v>
      </c>
      <c r="C5" t="s">
        <v>2250</v>
      </c>
      <c r="E5" t="s">
        <v>2055</v>
      </c>
      <c r="F5" t="s">
        <v>2056</v>
      </c>
      <c r="G5" t="s">
        <v>2057</v>
      </c>
      <c r="H5" t="s">
        <v>2162</v>
      </c>
      <c r="I5" t="s">
        <v>2058</v>
      </c>
      <c r="J5" t="s">
        <v>2056</v>
      </c>
      <c r="O5" s="6" t="s">
        <v>2090</v>
      </c>
      <c r="Q5" s="4" t="s">
        <v>2251</v>
      </c>
      <c r="S5" s="3" t="s">
        <v>2153</v>
      </c>
      <c r="U5" s="3" t="s">
        <v>2154</v>
      </c>
    </row>
    <row r="6" spans="1:21">
      <c r="A6">
        <v>10353010</v>
      </c>
      <c r="B6">
        <v>105.391958191299</v>
      </c>
      <c r="C6">
        <v>24.4648734284998</v>
      </c>
      <c r="E6" s="2">
        <v>10353010</v>
      </c>
      <c r="F6" t="str">
        <f t="shared" ref="F6:F69" si="0">"Affy 1.0 ST"</f>
        <v>Affy 1.0 ST</v>
      </c>
      <c r="G6" s="4" t="s">
        <v>2244</v>
      </c>
      <c r="H6" t="str">
        <f>"Mybl1"</f>
        <v>Mybl1</v>
      </c>
      <c r="I6" t="str">
        <f>"myeloblastosis oncogene-like 1"</f>
        <v>myeloblastosis oncogene-like 1</v>
      </c>
      <c r="O6">
        <f>MATCH(A6,'actMatureT&amp;NK'!$A$6:$A$336,0)</f>
        <v>215</v>
      </c>
      <c r="Q6">
        <f>MATCH(A6,'actImmT&amp;B'!$A$6:$A$879,0)</f>
        <v>122</v>
      </c>
      <c r="S6">
        <f>MATCH(A6,'GC-Bcell vs actMatureT&amp;NK,MZ'!$A$6:$A$698,0)</f>
        <v>4</v>
      </c>
      <c r="U6">
        <f>MATCH(A6,'GC-Bcell vs actImmatureT&amp;B, MZ'!$A$6:$A$458,0)</f>
        <v>5</v>
      </c>
    </row>
    <row r="7" spans="1:21">
      <c r="A7">
        <v>10531126</v>
      </c>
      <c r="B7">
        <v>87.941195999841497</v>
      </c>
      <c r="C7">
        <v>39.571614678199502</v>
      </c>
      <c r="E7" s="2">
        <v>10531126</v>
      </c>
      <c r="F7" t="str">
        <f t="shared" si="0"/>
        <v>Affy 1.0 ST</v>
      </c>
      <c r="G7" t="s">
        <v>1795</v>
      </c>
      <c r="H7" t="str">
        <f>"Igj"</f>
        <v>Igj</v>
      </c>
      <c r="I7" t="str">
        <f>"immunoglobulin joining chain"</f>
        <v>immunoglobulin joining chain</v>
      </c>
      <c r="O7" s="3" t="e">
        <f>MATCH(A7,'actMatureT&amp;NK'!$A$6:$A$336,0)</f>
        <v>#N/A</v>
      </c>
      <c r="Q7" s="3" t="e">
        <f>MATCH(A7,'actImmT&amp;B'!$A$6:$A$879,0)</f>
        <v>#N/A</v>
      </c>
      <c r="S7" s="3">
        <f>MATCH(A7,'GC-Bcell vs actMatureT&amp;NK,MZ'!$A$6:$A$698,0)</f>
        <v>2</v>
      </c>
      <c r="U7" s="3">
        <f>MATCH(A7,'GC-Bcell vs actImmatureT&amp;B, MZ'!$A$6:$A$458,0)</f>
        <v>2</v>
      </c>
    </row>
    <row r="8" spans="1:21">
      <c r="A8" s="4">
        <v>10358399</v>
      </c>
      <c r="B8">
        <v>83.599193170145298</v>
      </c>
      <c r="C8">
        <v>18.140126795357499</v>
      </c>
      <c r="E8" s="2">
        <v>10358399</v>
      </c>
      <c r="F8" t="str">
        <f t="shared" si="0"/>
        <v>Affy 1.0 ST</v>
      </c>
      <c r="G8" t="s">
        <v>1792</v>
      </c>
      <c r="H8" t="str">
        <f>"Rgs13"</f>
        <v>Rgs13</v>
      </c>
      <c r="I8" t="str">
        <f>"regulator of G-protein signaling 13"</f>
        <v>regulator of G-protein signaling 13</v>
      </c>
      <c r="O8" s="3" t="e">
        <f>MATCH(A8,'actMatureT&amp;NK'!$A$6:$A$336,0)</f>
        <v>#N/A</v>
      </c>
      <c r="Q8" s="3" t="e">
        <f>MATCH(A8,'actImmT&amp;B'!$A$6:$A$879,0)</f>
        <v>#N/A</v>
      </c>
      <c r="S8" s="3">
        <f>MATCH(A8,'GC-Bcell vs actMatureT&amp;NK,MZ'!$A$6:$A$698,0)</f>
        <v>1</v>
      </c>
      <c r="U8" s="3">
        <f>MATCH(A8,'GC-Bcell vs actImmatureT&amp;B, MZ'!$A$6:$A$458,0)</f>
        <v>1</v>
      </c>
    </row>
    <row r="9" spans="1:21">
      <c r="A9">
        <v>10541507</v>
      </c>
      <c r="B9">
        <v>74.365064552422595</v>
      </c>
      <c r="C9">
        <v>18.9651867203699</v>
      </c>
      <c r="E9" s="2">
        <v>10541507</v>
      </c>
      <c r="F9" t="str">
        <f t="shared" si="0"/>
        <v>Affy 1.0 ST</v>
      </c>
      <c r="G9" t="s">
        <v>1798</v>
      </c>
      <c r="H9" t="str">
        <f>"Aicda"</f>
        <v>Aicda</v>
      </c>
      <c r="I9" t="str">
        <f>"activation-induced cytidine deaminase"</f>
        <v>activation-induced cytidine deaminase</v>
      </c>
      <c r="O9" s="3" t="e">
        <f>MATCH(A9,'actMatureT&amp;NK'!$A$6:$A$336,0)</f>
        <v>#N/A</v>
      </c>
      <c r="Q9" s="3" t="e">
        <f>MATCH(A9,'actImmT&amp;B'!$A$6:$A$879,0)</f>
        <v>#N/A</v>
      </c>
      <c r="S9" s="3">
        <f>MATCH(A9,'GC-Bcell vs actMatureT&amp;NK,MZ'!$A$6:$A$698,0)</f>
        <v>3</v>
      </c>
      <c r="U9" s="3">
        <f>MATCH(A9,'GC-Bcell vs actImmatureT&amp;B, MZ'!$A$6:$A$458,0)</f>
        <v>3</v>
      </c>
    </row>
    <row r="10" spans="1:21">
      <c r="A10">
        <v>10416006</v>
      </c>
      <c r="B10">
        <v>44.198374822504398</v>
      </c>
      <c r="C10">
        <v>6.3586284124077697</v>
      </c>
      <c r="E10" s="2">
        <v>10416006</v>
      </c>
      <c r="F10" t="str">
        <f t="shared" si="0"/>
        <v>Affy 1.0 ST</v>
      </c>
      <c r="G10" t="s">
        <v>1917</v>
      </c>
      <c r="H10" t="str">
        <f>"Gm600"</f>
        <v>Gm600</v>
      </c>
      <c r="I10" t="str">
        <f>"predicted gene 600"</f>
        <v>predicted gene 600</v>
      </c>
      <c r="O10" s="3" t="e">
        <f>MATCH(A10,'actMatureT&amp;NK'!$A$6:$A$336,0)</f>
        <v>#N/A</v>
      </c>
      <c r="Q10" s="3" t="e">
        <f>MATCH(A10,'actImmT&amp;B'!$A$6:$A$879,0)</f>
        <v>#N/A</v>
      </c>
      <c r="S10" s="3">
        <f>MATCH(A10,'GC-Bcell vs actMatureT&amp;NK,MZ'!$A$6:$A$698,0)</f>
        <v>6</v>
      </c>
      <c r="U10" s="3">
        <f>MATCH(A10,'GC-Bcell vs actImmatureT&amp;B, MZ'!$A$6:$A$458,0)</f>
        <v>4</v>
      </c>
    </row>
    <row r="11" spans="1:21">
      <c r="A11">
        <v>10531261</v>
      </c>
      <c r="B11">
        <v>36.858268790119098</v>
      </c>
      <c r="C11">
        <v>6.3911040822049001</v>
      </c>
      <c r="E11" s="2">
        <v>10531261</v>
      </c>
      <c r="F11" t="str">
        <f t="shared" si="0"/>
        <v>Affy 1.0 ST</v>
      </c>
      <c r="G11" t="s">
        <v>1818</v>
      </c>
      <c r="H11" t="str">
        <f>"Rassf6"</f>
        <v>Rassf6</v>
      </c>
      <c r="I11" t="str">
        <f>"Ras association (RalGDS/AF-6) domain family member 6"</f>
        <v>Ras association (RalGDS/AF-6) domain family member 6</v>
      </c>
      <c r="O11" s="3" t="e">
        <f>MATCH(A11,'actMatureT&amp;NK'!$A$6:$A$336,0)</f>
        <v>#N/A</v>
      </c>
      <c r="Q11" s="3" t="e">
        <f>MATCH(A11,'actImmT&amp;B'!$A$6:$A$879,0)</f>
        <v>#N/A</v>
      </c>
      <c r="S11" s="3">
        <f>MATCH(A11,'GC-Bcell vs actMatureT&amp;NK,MZ'!$A$6:$A$698,0)</f>
        <v>9</v>
      </c>
      <c r="U11" s="3">
        <f>MATCH(A11,'GC-Bcell vs actImmatureT&amp;B, MZ'!$A$6:$A$458,0)</f>
        <v>6</v>
      </c>
    </row>
    <row r="12" spans="1:21">
      <c r="A12">
        <v>10521731</v>
      </c>
      <c r="B12">
        <v>28.782189551699599</v>
      </c>
      <c r="C12">
        <v>16.501362296463899</v>
      </c>
      <c r="E12" s="2">
        <v>10521731</v>
      </c>
      <c r="F12" t="str">
        <f t="shared" si="0"/>
        <v>Affy 1.0 ST</v>
      </c>
      <c r="G12" t="s">
        <v>2093</v>
      </c>
      <c r="H12" t="str">
        <f>"Ncapg"</f>
        <v>Ncapg</v>
      </c>
      <c r="I12" t="s">
        <v>2077</v>
      </c>
      <c r="O12" s="3">
        <f>MATCH(A12,'actMatureT&amp;NK'!$A$6:$A$336,0)</f>
        <v>9</v>
      </c>
      <c r="Q12" s="3">
        <f>MATCH(A12,'actImmT&amp;B'!$A$6:$A$879,0)</f>
        <v>8</v>
      </c>
      <c r="S12" s="3" t="e">
        <f>MATCH(A12,'GC-Bcell vs actMatureT&amp;NK,MZ'!$A$6:$A$698,0)</f>
        <v>#N/A</v>
      </c>
      <c r="U12" s="3" t="e">
        <f>MATCH(A12,'GC-Bcell vs actImmatureT&amp;B, MZ'!$A$6:$A$458,0)</f>
        <v>#N/A</v>
      </c>
    </row>
    <row r="13" spans="1:21">
      <c r="A13">
        <v>10586448</v>
      </c>
      <c r="B13">
        <v>23.221379747431701</v>
      </c>
      <c r="C13">
        <v>14.171488143686799</v>
      </c>
      <c r="E13" s="2">
        <v>10586448</v>
      </c>
      <c r="F13" t="str">
        <f t="shared" si="0"/>
        <v>Affy 1.0 ST</v>
      </c>
      <c r="G13" t="s">
        <v>2094</v>
      </c>
      <c r="H13" t="str">
        <f>"2810417H13Rik"</f>
        <v>2810417H13Rik</v>
      </c>
      <c r="I13" t="str">
        <f>"RIKEN cDNA 2810417H13 gene"</f>
        <v>RIKEN cDNA 2810417H13 gene</v>
      </c>
      <c r="O13" s="3">
        <f>MATCH(A13,'actMatureT&amp;NK'!$A$6:$A$336,0)</f>
        <v>3</v>
      </c>
      <c r="Q13" s="3">
        <f>MATCH(A13,'actImmT&amp;B'!$A$6:$A$879,0)</f>
        <v>10</v>
      </c>
      <c r="S13" s="3" t="e">
        <f>MATCH(A13,'GC-Bcell vs actMatureT&amp;NK,MZ'!$A$6:$A$698,0)</f>
        <v>#N/A</v>
      </c>
      <c r="U13" s="3" t="e">
        <f>MATCH(A13,'GC-Bcell vs actImmatureT&amp;B, MZ'!$A$6:$A$458,0)</f>
        <v>#N/A</v>
      </c>
    </row>
    <row r="14" spans="1:21">
      <c r="A14">
        <v>10359890</v>
      </c>
      <c r="B14">
        <v>21.981109206439999</v>
      </c>
      <c r="C14">
        <v>11.5165199525707</v>
      </c>
      <c r="E14" s="2">
        <v>10359890</v>
      </c>
      <c r="F14" t="str">
        <f t="shared" si="0"/>
        <v>Affy 1.0 ST</v>
      </c>
      <c r="G14" t="s">
        <v>2095</v>
      </c>
      <c r="H14" t="str">
        <f>"Nuf2"</f>
        <v>Nuf2</v>
      </c>
      <c r="I14" t="s">
        <v>2078</v>
      </c>
      <c r="O14" s="3">
        <f>MATCH(A14,'actMatureT&amp;NK'!$A$6:$A$336,0)</f>
        <v>16</v>
      </c>
      <c r="Q14" s="3">
        <f>MATCH(A14,'actImmT&amp;B'!$A$6:$A$879,0)</f>
        <v>9</v>
      </c>
      <c r="S14" s="3" t="e">
        <f>MATCH(A14,'GC-Bcell vs actMatureT&amp;NK,MZ'!$A$6:$A$698,0)</f>
        <v>#N/A</v>
      </c>
      <c r="U14" s="3" t="e">
        <f>MATCH(A14,'GC-Bcell vs actImmatureT&amp;B, MZ'!$A$6:$A$458,0)</f>
        <v>#N/A</v>
      </c>
    </row>
    <row r="15" spans="1:21">
      <c r="A15">
        <v>10462866</v>
      </c>
      <c r="B15">
        <v>17.734236204709799</v>
      </c>
      <c r="C15">
        <v>8.2488524068818894</v>
      </c>
      <c r="E15" s="2">
        <v>10462866</v>
      </c>
      <c r="F15" t="str">
        <f t="shared" si="0"/>
        <v>Affy 1.0 ST</v>
      </c>
      <c r="G15" t="s">
        <v>1884</v>
      </c>
      <c r="H15" t="str">
        <f>"Cep55"</f>
        <v>Cep55</v>
      </c>
      <c r="I15" t="str">
        <f>"centrosomal protein 55"</f>
        <v>centrosomal protein 55</v>
      </c>
      <c r="O15" s="3">
        <f>MATCH(A15,'actMatureT&amp;NK'!$A$6:$A$336,0)</f>
        <v>40</v>
      </c>
      <c r="Q15" s="3">
        <f>MATCH(A15,'actImmT&amp;B'!$A$6:$A$879,0)</f>
        <v>19</v>
      </c>
      <c r="S15" s="3">
        <f>MATCH(A15,'GC-Bcell vs actMatureT&amp;NK,MZ'!$A$6:$A$698,0)</f>
        <v>40</v>
      </c>
      <c r="U15" s="3" t="e">
        <f>MATCH(A15,'GC-Bcell vs actImmatureT&amp;B, MZ'!$A$6:$A$458,0)</f>
        <v>#N/A</v>
      </c>
    </row>
    <row r="16" spans="1:21">
      <c r="A16">
        <v>10539850</v>
      </c>
      <c r="B16">
        <v>17.6526195468217</v>
      </c>
      <c r="C16">
        <v>5.5497537153756804</v>
      </c>
      <c r="E16" s="2">
        <v>10539850</v>
      </c>
      <c r="F16" t="str">
        <f t="shared" si="0"/>
        <v>Affy 1.0 ST</v>
      </c>
      <c r="G16" t="s">
        <v>1712</v>
      </c>
      <c r="H16" t="str">
        <f>"8430410A17Rik"</f>
        <v>8430410A17Rik</v>
      </c>
      <c r="I16" t="str">
        <f>"RIKEN cDNA 8430410A17 gene"</f>
        <v>RIKEN cDNA 8430410A17 gene</v>
      </c>
      <c r="O16" s="3" t="e">
        <f>MATCH(A16,'actMatureT&amp;NK'!$A$6:$A$336,0)</f>
        <v>#N/A</v>
      </c>
      <c r="Q16" s="3" t="e">
        <f>MATCH(A16,'actImmT&amp;B'!$A$6:$A$879,0)</f>
        <v>#N/A</v>
      </c>
      <c r="S16" s="3">
        <f>MATCH(A16,'GC-Bcell vs actMatureT&amp;NK,MZ'!$A$6:$A$698,0)</f>
        <v>28</v>
      </c>
      <c r="U16" s="3">
        <f>MATCH(A16,'GC-Bcell vs actImmatureT&amp;B, MZ'!$A$6:$A$458,0)</f>
        <v>32</v>
      </c>
    </row>
    <row r="17" spans="1:21">
      <c r="A17">
        <v>10350838</v>
      </c>
      <c r="B17">
        <v>17.253480798312001</v>
      </c>
      <c r="C17">
        <v>8.4086427191025503</v>
      </c>
      <c r="E17" s="2">
        <v>10350838</v>
      </c>
      <c r="F17" t="str">
        <f t="shared" si="0"/>
        <v>Affy 1.0 ST</v>
      </c>
      <c r="G17" t="s">
        <v>2094</v>
      </c>
      <c r="H17" t="str">
        <f>"2810417H13Rik"</f>
        <v>2810417H13Rik</v>
      </c>
      <c r="I17" t="str">
        <f>"RIKEN cDNA 2810417H13 gene"</f>
        <v>RIKEN cDNA 2810417H13 gene</v>
      </c>
      <c r="O17" s="3">
        <f>MATCH(A17,'actMatureT&amp;NK'!$A$6:$A$336,0)</f>
        <v>15</v>
      </c>
      <c r="Q17" s="3">
        <f>MATCH(A17,'actImmT&amp;B'!$A$6:$A$879,0)</f>
        <v>53</v>
      </c>
      <c r="S17" s="3" t="e">
        <f>MATCH(A17,'GC-Bcell vs actMatureT&amp;NK,MZ'!$A$6:$A$698,0)</f>
        <v>#N/A</v>
      </c>
      <c r="U17" s="3" t="e">
        <f>MATCH(A17,'GC-Bcell vs actImmatureT&amp;B, MZ'!$A$6:$A$458,0)</f>
        <v>#N/A</v>
      </c>
    </row>
    <row r="18" spans="1:21">
      <c r="A18">
        <v>10601011</v>
      </c>
      <c r="B18">
        <v>16.5941777088733</v>
      </c>
      <c r="C18">
        <v>8.0631050610707007</v>
      </c>
      <c r="E18" s="2">
        <v>10601011</v>
      </c>
      <c r="F18" t="str">
        <f t="shared" si="0"/>
        <v>Affy 1.0 ST</v>
      </c>
      <c r="G18" t="s">
        <v>2096</v>
      </c>
      <c r="H18" t="str">
        <f>"Kif4"</f>
        <v>Kif4</v>
      </c>
      <c r="I18" t="str">
        <f>"kinesin family member 4"</f>
        <v>kinesin family member 4</v>
      </c>
      <c r="O18" s="3">
        <f>MATCH(A18,'actMatureT&amp;NK'!$A$6:$A$336,0)</f>
        <v>18</v>
      </c>
      <c r="Q18" s="3">
        <f>MATCH(A18,'actImmT&amp;B'!$A$6:$A$879,0)</f>
        <v>12</v>
      </c>
      <c r="S18" s="3" t="e">
        <f>MATCH(A18,'GC-Bcell vs actMatureT&amp;NK,MZ'!$A$6:$A$698,0)</f>
        <v>#N/A</v>
      </c>
      <c r="U18" s="3" t="e">
        <f>MATCH(A18,'GC-Bcell vs actImmatureT&amp;B, MZ'!$A$6:$A$458,0)</f>
        <v>#N/A</v>
      </c>
    </row>
    <row r="19" spans="1:21">
      <c r="A19">
        <v>10593887</v>
      </c>
      <c r="B19">
        <v>16.218573697748798</v>
      </c>
      <c r="C19">
        <v>4.1170383815893201</v>
      </c>
      <c r="E19" s="2">
        <v>10593887</v>
      </c>
      <c r="F19" t="str">
        <f t="shared" si="0"/>
        <v>Affy 1.0 ST</v>
      </c>
      <c r="G19" t="s">
        <v>1676</v>
      </c>
      <c r="H19" t="str">
        <f>"Neil1"</f>
        <v>Neil1</v>
      </c>
      <c r="I19" t="str">
        <f>"nei endonuclease VIII-like 1 (E. coli)"</f>
        <v>nei endonuclease VIII-like 1 (E. coli)</v>
      </c>
      <c r="O19" s="3" t="e">
        <f>MATCH(A19,'actMatureT&amp;NK'!$A$6:$A$336,0)</f>
        <v>#N/A</v>
      </c>
      <c r="Q19" s="3" t="e">
        <f>MATCH(A19,'actImmT&amp;B'!$A$6:$A$879,0)</f>
        <v>#N/A</v>
      </c>
      <c r="S19" s="3">
        <f>MATCH(A19,'GC-Bcell vs actMatureT&amp;NK,MZ'!$A$6:$A$698,0)</f>
        <v>15</v>
      </c>
      <c r="U19" s="3">
        <f>MATCH(A19,'GC-Bcell vs actImmatureT&amp;B, MZ'!$A$6:$A$458,0)</f>
        <v>36</v>
      </c>
    </row>
    <row r="20" spans="1:21">
      <c r="A20">
        <v>10420877</v>
      </c>
      <c r="B20">
        <v>15.9264949002617</v>
      </c>
      <c r="C20">
        <v>6.5496110324204304</v>
      </c>
      <c r="E20" s="2">
        <v>10420877</v>
      </c>
      <c r="F20" t="str">
        <f t="shared" si="0"/>
        <v>Affy 1.0 ST</v>
      </c>
      <c r="G20" t="s">
        <v>1763</v>
      </c>
      <c r="H20" t="str">
        <f>"Esco2"</f>
        <v>Esco2</v>
      </c>
      <c r="I20" t="str">
        <f>"establishment of cohesion 1 homolog 2 (S. cerevisiae)"</f>
        <v>establishment of cohesion 1 homolog 2 (S. cerevisiae)</v>
      </c>
      <c r="O20" s="3">
        <f>MATCH(A20,'actMatureT&amp;NK'!$A$6:$A$336,0)</f>
        <v>43</v>
      </c>
      <c r="Q20" s="3">
        <f>MATCH(A20,'actImmT&amp;B'!$A$6:$A$879,0)</f>
        <v>17</v>
      </c>
      <c r="S20" s="3">
        <f>MATCH(A20,'GC-Bcell vs actMatureT&amp;NK,MZ'!$A$6:$A$698,0)</f>
        <v>45</v>
      </c>
      <c r="U20" s="3" t="e">
        <f>MATCH(A20,'GC-Bcell vs actImmatureT&amp;B, MZ'!$A$6:$A$458,0)</f>
        <v>#N/A</v>
      </c>
    </row>
    <row r="21" spans="1:21">
      <c r="A21">
        <v>10507112</v>
      </c>
      <c r="B21">
        <v>15.6758641731703</v>
      </c>
      <c r="C21">
        <v>7.60713127472693</v>
      </c>
      <c r="E21" s="2">
        <v>10507112</v>
      </c>
      <c r="F21" t="str">
        <f t="shared" si="0"/>
        <v>Affy 1.0 ST</v>
      </c>
      <c r="G21" t="s">
        <v>2097</v>
      </c>
      <c r="H21" t="str">
        <f>"Stil"</f>
        <v>Stil</v>
      </c>
      <c r="I21" t="str">
        <f>"Scl/Tal1 interrupting locus"</f>
        <v>Scl/Tal1 interrupting locus</v>
      </c>
      <c r="O21" s="3">
        <f>MATCH(A21,'actMatureT&amp;NK'!$A$6:$A$336,0)</f>
        <v>19</v>
      </c>
      <c r="Q21" s="3">
        <f>MATCH(A21,'actImmT&amp;B'!$A$6:$A$879,0)</f>
        <v>25</v>
      </c>
      <c r="S21" s="3" t="e">
        <f>MATCH(A21,'GC-Bcell vs actMatureT&amp;NK,MZ'!$A$6:$A$698,0)</f>
        <v>#N/A</v>
      </c>
      <c r="U21" s="3" t="e">
        <f>MATCH(A21,'GC-Bcell vs actImmatureT&amp;B, MZ'!$A$6:$A$458,0)</f>
        <v>#N/A</v>
      </c>
    </row>
    <row r="22" spans="1:21">
      <c r="A22">
        <v>10439346</v>
      </c>
      <c r="B22">
        <v>15.4809250668903</v>
      </c>
      <c r="C22">
        <v>3.0615684878843799</v>
      </c>
      <c r="E22" s="2">
        <v>10439346</v>
      </c>
      <c r="F22" t="str">
        <f t="shared" si="0"/>
        <v>Affy 1.0 ST</v>
      </c>
      <c r="G22" t="s">
        <v>1846</v>
      </c>
      <c r="H22" t="str">
        <f>"Eaf2"</f>
        <v>Eaf2</v>
      </c>
      <c r="I22" t="str">
        <f>"ELL associated factor 2"</f>
        <v>ELL associated factor 2</v>
      </c>
      <c r="O22" s="3" t="e">
        <f>MATCH(A22,'actMatureT&amp;NK'!$A$6:$A$336,0)</f>
        <v>#N/A</v>
      </c>
      <c r="Q22" s="3" t="e">
        <f>MATCH(A22,'actImmT&amp;B'!$A$6:$A$879,0)</f>
        <v>#N/A</v>
      </c>
      <c r="S22" s="3">
        <f>MATCH(A22,'GC-Bcell vs actMatureT&amp;NK,MZ'!$A$6:$A$698,0)</f>
        <v>20</v>
      </c>
      <c r="U22" s="3">
        <f>MATCH(A22,'GC-Bcell vs actImmatureT&amp;B, MZ'!$A$6:$A$458,0)</f>
        <v>24</v>
      </c>
    </row>
    <row r="23" spans="1:21">
      <c r="A23">
        <v>10352767</v>
      </c>
      <c r="B23">
        <v>15.1017162079416</v>
      </c>
      <c r="C23">
        <v>6.3918743022186701</v>
      </c>
      <c r="E23" s="2">
        <v>10352767</v>
      </c>
      <c r="F23" t="str">
        <f t="shared" si="0"/>
        <v>Affy 1.0 ST</v>
      </c>
      <c r="G23" t="s">
        <v>1881</v>
      </c>
      <c r="H23" t="str">
        <f>"Nek2"</f>
        <v>Nek2</v>
      </c>
      <c r="I23" t="str">
        <f>"NIMA (never in mitosis gene a)-related expressed kinase 2"</f>
        <v>NIMA (never in mitosis gene a)-related expressed kinase 2</v>
      </c>
      <c r="O23" s="3">
        <f>MATCH(A23,'actMatureT&amp;NK'!$A$6:$A$336,0)</f>
        <v>53</v>
      </c>
      <c r="Q23" s="3">
        <f>MATCH(A23,'actImmT&amp;B'!$A$6:$A$879,0)</f>
        <v>39</v>
      </c>
      <c r="S23" s="3">
        <f>MATCH(A23,'GC-Bcell vs actMatureT&amp;NK,MZ'!$A$6:$A$698,0)</f>
        <v>39</v>
      </c>
      <c r="U23" s="3" t="e">
        <f>MATCH(A23,'GC-Bcell vs actImmatureT&amp;B, MZ'!$A$6:$A$458,0)</f>
        <v>#N/A</v>
      </c>
    </row>
    <row r="24" spans="1:21">
      <c r="A24">
        <v>10399087</v>
      </c>
      <c r="B24">
        <v>14.945418848309799</v>
      </c>
      <c r="C24">
        <v>10.580548855945599</v>
      </c>
      <c r="E24" s="2">
        <v>10399087</v>
      </c>
      <c r="F24" t="str">
        <f t="shared" si="0"/>
        <v>Affy 1.0 ST</v>
      </c>
      <c r="G24" t="s">
        <v>2098</v>
      </c>
      <c r="H24" t="str">
        <f>"Ncapg2"</f>
        <v>Ncapg2</v>
      </c>
      <c r="I24" t="s">
        <v>2079</v>
      </c>
      <c r="O24" s="3">
        <f>MATCH(A24,'actMatureT&amp;NK'!$A$6:$A$336,0)</f>
        <v>7</v>
      </c>
      <c r="Q24" s="3">
        <f>MATCH(A24,'actImmT&amp;B'!$A$6:$A$879,0)</f>
        <v>5</v>
      </c>
      <c r="S24" s="3" t="e">
        <f>MATCH(A24,'GC-Bcell vs actMatureT&amp;NK,MZ'!$A$6:$A$698,0)</f>
        <v>#N/A</v>
      </c>
      <c r="U24" s="3" t="e">
        <f>MATCH(A24,'GC-Bcell vs actImmatureT&amp;B, MZ'!$A$6:$A$458,0)</f>
        <v>#N/A</v>
      </c>
    </row>
    <row r="25" spans="1:21">
      <c r="A25">
        <v>10406581</v>
      </c>
      <c r="B25">
        <v>14.4482528456046</v>
      </c>
      <c r="C25">
        <v>5.5962645488927496</v>
      </c>
      <c r="E25" s="2">
        <v>10406581</v>
      </c>
      <c r="F25" t="str">
        <f t="shared" si="0"/>
        <v>Affy 1.0 ST</v>
      </c>
      <c r="G25" t="s">
        <v>1630</v>
      </c>
      <c r="H25" t="str">
        <f>"Dhfr"</f>
        <v>Dhfr</v>
      </c>
      <c r="I25" t="str">
        <f>"dihydrofolate reductase"</f>
        <v>dihydrofolate reductase</v>
      </c>
      <c r="O25" s="3">
        <f>MATCH(A25,'actMatureT&amp;NK'!$A$6:$A$336,0)</f>
        <v>143</v>
      </c>
      <c r="Q25" s="3" t="e">
        <f>MATCH(A25,'actImmT&amp;B'!$A$6:$A$879,0)</f>
        <v>#N/A</v>
      </c>
      <c r="S25" s="3">
        <f>MATCH(A25,'GC-Bcell vs actMatureT&amp;NK,MZ'!$A$6:$A$698,0)</f>
        <v>60</v>
      </c>
      <c r="U25" s="3" t="e">
        <f>MATCH(A25,'GC-Bcell vs actImmatureT&amp;B, MZ'!$A$6:$A$458,0)</f>
        <v>#N/A</v>
      </c>
    </row>
    <row r="26" spans="1:21">
      <c r="A26">
        <v>10563780</v>
      </c>
      <c r="B26">
        <v>14.438882429372301</v>
      </c>
      <c r="C26">
        <v>7.7916931310733499</v>
      </c>
      <c r="E26" s="2">
        <v>10563780</v>
      </c>
      <c r="F26" t="str">
        <f t="shared" si="0"/>
        <v>Affy 1.0 ST</v>
      </c>
      <c r="G26" t="s">
        <v>2099</v>
      </c>
      <c r="H26" t="str">
        <f>"E2f8"</f>
        <v>E2f8</v>
      </c>
      <c r="I26" t="str">
        <f>"E2F transcription factor 8"</f>
        <v>E2F transcription factor 8</v>
      </c>
      <c r="O26" s="3">
        <f>MATCH(A26,'actMatureT&amp;NK'!$A$6:$A$336,0)</f>
        <v>21</v>
      </c>
      <c r="Q26" s="3">
        <f>MATCH(A26,'actImmT&amp;B'!$A$6:$A$879,0)</f>
        <v>18</v>
      </c>
      <c r="S26" s="3" t="e">
        <f>MATCH(A26,'GC-Bcell vs actMatureT&amp;NK,MZ'!$A$6:$A$698,0)</f>
        <v>#N/A</v>
      </c>
      <c r="U26" s="3" t="e">
        <f>MATCH(A26,'GC-Bcell vs actImmatureT&amp;B, MZ'!$A$6:$A$458,0)</f>
        <v>#N/A</v>
      </c>
    </row>
    <row r="27" spans="1:21">
      <c r="A27">
        <v>10462973</v>
      </c>
      <c r="B27">
        <v>14.4088241012222</v>
      </c>
      <c r="C27">
        <v>7.46683812786394</v>
      </c>
      <c r="E27" s="2">
        <v>10462973</v>
      </c>
      <c r="F27" t="str">
        <f t="shared" si="0"/>
        <v>Affy 1.0 ST</v>
      </c>
      <c r="G27" t="s">
        <v>2100</v>
      </c>
      <c r="H27" t="str">
        <f>"Hells"</f>
        <v>Hells</v>
      </c>
      <c r="I27" t="s">
        <v>2080</v>
      </c>
      <c r="O27" s="3">
        <f>MATCH(A27,'actMatureT&amp;NK'!$A$6:$A$336,0)</f>
        <v>30</v>
      </c>
      <c r="Q27" s="3" t="e">
        <f>MATCH(A27,'actImmT&amp;B'!$A$6:$A$879,0)</f>
        <v>#N/A</v>
      </c>
      <c r="S27" s="3" t="e">
        <f>MATCH(A27,'GC-Bcell vs actMatureT&amp;NK,MZ'!$A$6:$A$698,0)</f>
        <v>#N/A</v>
      </c>
      <c r="U27" s="3" t="e">
        <f>MATCH(A27,'GC-Bcell vs actImmatureT&amp;B, MZ'!$A$6:$A$458,0)</f>
        <v>#N/A</v>
      </c>
    </row>
    <row r="28" spans="1:21">
      <c r="A28">
        <v>10576883</v>
      </c>
      <c r="B28">
        <v>14.149279454435799</v>
      </c>
      <c r="C28">
        <v>6.01446389972826</v>
      </c>
      <c r="E28" s="2">
        <v>10576883</v>
      </c>
      <c r="F28" t="str">
        <f t="shared" si="0"/>
        <v>Affy 1.0 ST</v>
      </c>
      <c r="G28" t="s">
        <v>2101</v>
      </c>
      <c r="H28" t="str">
        <f>"Shcbp1"</f>
        <v>Shcbp1</v>
      </c>
      <c r="I28" t="str">
        <f>"Shc SH2-domain binding protein 1"</f>
        <v>Shc SH2-domain binding protein 1</v>
      </c>
      <c r="O28" s="3">
        <f>MATCH(A28,'actMatureT&amp;NK'!$A$6:$A$336,0)</f>
        <v>26</v>
      </c>
      <c r="Q28" s="3">
        <f>MATCH(A28,'actImmT&amp;B'!$A$6:$A$879,0)</f>
        <v>26</v>
      </c>
      <c r="S28" s="3" t="e">
        <f>MATCH(A28,'GC-Bcell vs actMatureT&amp;NK,MZ'!$A$6:$A$698,0)</f>
        <v>#N/A</v>
      </c>
      <c r="U28" s="3" t="e">
        <f>MATCH(A28,'GC-Bcell vs actImmatureT&amp;B, MZ'!$A$6:$A$458,0)</f>
        <v>#N/A</v>
      </c>
    </row>
    <row r="29" spans="1:21">
      <c r="A29">
        <v>10474875</v>
      </c>
      <c r="B29">
        <v>13.8308038219807</v>
      </c>
      <c r="C29">
        <v>7.6974094692321096</v>
      </c>
      <c r="E29" s="2">
        <v>10474875</v>
      </c>
      <c r="F29" t="str">
        <f t="shared" si="0"/>
        <v>Affy 1.0 ST</v>
      </c>
      <c r="G29" t="s">
        <v>2102</v>
      </c>
      <c r="H29" t="str">
        <f>"Casc5"</f>
        <v>Casc5</v>
      </c>
      <c r="I29" t="str">
        <f>"cancer susceptibility candidate 5"</f>
        <v>cancer susceptibility candidate 5</v>
      </c>
      <c r="O29" s="3">
        <f>MATCH(A29,'actMatureT&amp;NK'!$A$6:$A$336,0)</f>
        <v>22</v>
      </c>
      <c r="Q29" s="3">
        <f>MATCH(A29,'actImmT&amp;B'!$A$6:$A$879,0)</f>
        <v>43</v>
      </c>
      <c r="S29" s="3" t="e">
        <f>MATCH(A29,'GC-Bcell vs actMatureT&amp;NK,MZ'!$A$6:$A$698,0)</f>
        <v>#N/A</v>
      </c>
      <c r="U29" s="3" t="e">
        <f>MATCH(A29,'GC-Bcell vs actImmatureT&amp;B, MZ'!$A$6:$A$458,0)</f>
        <v>#N/A</v>
      </c>
    </row>
    <row r="30" spans="1:21">
      <c r="A30">
        <v>10454709</v>
      </c>
      <c r="B30">
        <v>13.706510231823501</v>
      </c>
      <c r="C30">
        <v>6.4389870831527602</v>
      </c>
      <c r="E30" s="2">
        <v>10454709</v>
      </c>
      <c r="F30" t="str">
        <f t="shared" si="0"/>
        <v>Affy 1.0 ST</v>
      </c>
      <c r="G30" t="s">
        <v>2103</v>
      </c>
      <c r="H30" t="str">
        <f>"Kif20a"</f>
        <v>Kif20a</v>
      </c>
      <c r="I30" t="str">
        <f>"kinesin family member 20A"</f>
        <v>kinesin family member 20A</v>
      </c>
      <c r="O30" s="3">
        <f>MATCH(A30,'actMatureT&amp;NK'!$A$6:$A$336,0)</f>
        <v>45</v>
      </c>
      <c r="Q30" s="3">
        <f>MATCH(A30,'actImmT&amp;B'!$A$6:$A$879,0)</f>
        <v>57</v>
      </c>
      <c r="S30" s="3" t="e">
        <f>MATCH(A30,'GC-Bcell vs actMatureT&amp;NK,MZ'!$A$6:$A$698,0)</f>
        <v>#N/A</v>
      </c>
      <c r="U30" s="3" t="e">
        <f>MATCH(A30,'GC-Bcell vs actImmatureT&amp;B, MZ'!$A$6:$A$458,0)</f>
        <v>#N/A</v>
      </c>
    </row>
    <row r="31" spans="1:21">
      <c r="A31">
        <v>10368289</v>
      </c>
      <c r="B31">
        <v>13.2239493286196</v>
      </c>
      <c r="C31">
        <v>7.9927634668505796</v>
      </c>
      <c r="E31" s="2">
        <v>10368289</v>
      </c>
      <c r="F31" t="str">
        <f t="shared" si="0"/>
        <v>Affy 1.0 ST</v>
      </c>
      <c r="G31" t="s">
        <v>1593</v>
      </c>
      <c r="H31" t="str">
        <f>"Enpp1"</f>
        <v>Enpp1</v>
      </c>
      <c r="I31" t="str">
        <f>"ectonucleotide pyrophosphatase/phosphodiesterase 1"</f>
        <v>ectonucleotide pyrophosphatase/phosphodiesterase 1</v>
      </c>
      <c r="O31" s="3" t="e">
        <f>MATCH(A31,'actMatureT&amp;NK'!$A$6:$A$336,0)</f>
        <v>#N/A</v>
      </c>
      <c r="Q31" s="3" t="e">
        <f>MATCH(A31,'actImmT&amp;B'!$A$6:$A$879,0)</f>
        <v>#N/A</v>
      </c>
      <c r="S31" s="3">
        <f>MATCH(A31,'GC-Bcell vs actMatureT&amp;NK,MZ'!$A$6:$A$698,0)</f>
        <v>47</v>
      </c>
      <c r="U31" s="3">
        <f>MATCH(A31,'GC-Bcell vs actImmatureT&amp;B, MZ'!$A$6:$A$458,0)</f>
        <v>15</v>
      </c>
    </row>
    <row r="32" spans="1:21">
      <c r="A32">
        <v>10385248</v>
      </c>
      <c r="B32">
        <v>13.0473724419462</v>
      </c>
      <c r="C32">
        <v>5.4077503918254397</v>
      </c>
      <c r="E32" s="2">
        <v>10385248</v>
      </c>
      <c r="F32" t="str">
        <f t="shared" si="0"/>
        <v>Affy 1.0 ST</v>
      </c>
      <c r="G32" t="s">
        <v>2104</v>
      </c>
      <c r="H32" t="str">
        <f>"Hmmr"</f>
        <v>Hmmr</v>
      </c>
      <c r="I32" t="str">
        <f>"hyaluronan mediated motility receptor (RHAMM)"</f>
        <v>hyaluronan mediated motility receptor (RHAMM)</v>
      </c>
      <c r="O32" s="3">
        <f>MATCH(A32,'actMatureT&amp;NK'!$A$6:$A$336,0)</f>
        <v>37</v>
      </c>
      <c r="Q32" s="3">
        <f>MATCH(A32,'actImmT&amp;B'!$A$6:$A$879,0)</f>
        <v>20</v>
      </c>
      <c r="S32" s="3" t="e">
        <f>MATCH(A32,'GC-Bcell vs actMatureT&amp;NK,MZ'!$A$6:$A$698,0)</f>
        <v>#N/A</v>
      </c>
      <c r="U32" s="3" t="e">
        <f>MATCH(A32,'GC-Bcell vs actImmatureT&amp;B, MZ'!$A$6:$A$458,0)</f>
        <v>#N/A</v>
      </c>
    </row>
    <row r="33" spans="1:21">
      <c r="A33">
        <v>10361110</v>
      </c>
      <c r="B33">
        <v>12.501177982241</v>
      </c>
      <c r="C33">
        <v>5.6338043683148404</v>
      </c>
      <c r="E33" s="2">
        <v>10361110</v>
      </c>
      <c r="F33" t="str">
        <f t="shared" si="0"/>
        <v>Affy 1.0 ST</v>
      </c>
      <c r="G33" t="s">
        <v>2105</v>
      </c>
      <c r="H33" t="str">
        <f>"Dtl"</f>
        <v>Dtl</v>
      </c>
      <c r="I33" t="str">
        <f>"denticleless homolog (Drosophila)"</f>
        <v>denticleless homolog (Drosophila)</v>
      </c>
      <c r="O33" s="3">
        <f>MATCH(A33,'actMatureT&amp;NK'!$A$6:$A$336,0)</f>
        <v>28</v>
      </c>
      <c r="Q33" s="3" t="e">
        <f>MATCH(A33,'actImmT&amp;B'!$A$6:$A$879,0)</f>
        <v>#N/A</v>
      </c>
      <c r="S33" s="3" t="e">
        <f>MATCH(A33,'GC-Bcell vs actMatureT&amp;NK,MZ'!$A$6:$A$698,0)</f>
        <v>#N/A</v>
      </c>
      <c r="U33" s="3" t="e">
        <f>MATCH(A33,'GC-Bcell vs actImmatureT&amp;B, MZ'!$A$6:$A$458,0)</f>
        <v>#N/A</v>
      </c>
    </row>
    <row r="34" spans="1:21">
      <c r="A34">
        <v>10590494</v>
      </c>
      <c r="B34">
        <v>12.4327597301656</v>
      </c>
      <c r="C34">
        <v>6.3320541849191301</v>
      </c>
      <c r="E34" s="2">
        <v>10590494</v>
      </c>
      <c r="F34" t="str">
        <f t="shared" si="0"/>
        <v>Affy 1.0 ST</v>
      </c>
      <c r="G34" t="s">
        <v>2106</v>
      </c>
      <c r="H34" t="str">
        <f>"Kif15"</f>
        <v>Kif15</v>
      </c>
      <c r="I34" t="str">
        <f>"kinesin family member 15"</f>
        <v>kinesin family member 15</v>
      </c>
      <c r="O34" s="3">
        <f>MATCH(A34,'actMatureT&amp;NK'!$A$6:$A$336,0)</f>
        <v>13</v>
      </c>
      <c r="Q34" s="3">
        <f>MATCH(A34,'actImmT&amp;B'!$A$6:$A$879,0)</f>
        <v>34</v>
      </c>
      <c r="S34" s="3" t="e">
        <f>MATCH(A34,'GC-Bcell vs actMatureT&amp;NK,MZ'!$A$6:$A$698,0)</f>
        <v>#N/A</v>
      </c>
      <c r="U34" s="3" t="e">
        <f>MATCH(A34,'GC-Bcell vs actImmatureT&amp;B, MZ'!$A$6:$A$458,0)</f>
        <v>#N/A</v>
      </c>
    </row>
    <row r="35" spans="1:21">
      <c r="A35">
        <v>10446074</v>
      </c>
      <c r="B35">
        <v>12.3862238358165</v>
      </c>
      <c r="C35">
        <v>6.7132097634551204</v>
      </c>
      <c r="E35" s="2">
        <v>10446074</v>
      </c>
      <c r="F35" t="str">
        <f t="shared" si="0"/>
        <v>Affy 1.0 ST</v>
      </c>
      <c r="G35" t="s">
        <v>2163</v>
      </c>
      <c r="H35" t="str">
        <f>"Uhrf1"</f>
        <v>Uhrf1</v>
      </c>
      <c r="I35" t="s">
        <v>2082</v>
      </c>
      <c r="O35" s="3">
        <f>MATCH(A35,'actMatureT&amp;NK'!$A$6:$A$336,0)</f>
        <v>31</v>
      </c>
      <c r="Q35" s="3">
        <f>MATCH(A35,'actImmT&amp;B'!$A$6:$A$879,0)</f>
        <v>120</v>
      </c>
      <c r="S35" s="3" t="e">
        <f>MATCH(A35,'GC-Bcell vs actMatureT&amp;NK,MZ'!$A$6:$A$698,0)</f>
        <v>#N/A</v>
      </c>
      <c r="U35" s="3" t="e">
        <f>MATCH(A35,'GC-Bcell vs actImmatureT&amp;B, MZ'!$A$6:$A$458,0)</f>
        <v>#N/A</v>
      </c>
    </row>
    <row r="36" spans="1:21">
      <c r="A36">
        <v>10394978</v>
      </c>
      <c r="B36">
        <v>12.2967963656361</v>
      </c>
      <c r="C36">
        <v>6.93049697983977</v>
      </c>
      <c r="E36" s="2">
        <v>10394978</v>
      </c>
      <c r="F36" t="str">
        <f t="shared" si="0"/>
        <v>Affy 1.0 ST</v>
      </c>
      <c r="G36" t="s">
        <v>2164</v>
      </c>
      <c r="H36" t="str">
        <f>"Rrm2"</f>
        <v>Rrm2</v>
      </c>
      <c r="I36" t="str">
        <f>"ribonucleotide reductase M2"</f>
        <v>ribonucleotide reductase M2</v>
      </c>
      <c r="O36" s="3">
        <f>MATCH(A36,'actMatureT&amp;NK'!$A$6:$A$336,0)</f>
        <v>11</v>
      </c>
      <c r="Q36" s="3">
        <f>MATCH(A36,'actImmT&amp;B'!$A$6:$A$879,0)</f>
        <v>16</v>
      </c>
      <c r="S36" s="3" t="e">
        <f>MATCH(A36,'GC-Bcell vs actMatureT&amp;NK,MZ'!$A$6:$A$698,0)</f>
        <v>#N/A</v>
      </c>
      <c r="U36" s="3" t="e">
        <f>MATCH(A36,'GC-Bcell vs actImmatureT&amp;B, MZ'!$A$6:$A$458,0)</f>
        <v>#N/A</v>
      </c>
    </row>
    <row r="37" spans="1:21">
      <c r="A37">
        <v>10592201</v>
      </c>
      <c r="B37">
        <v>12.2430533629617</v>
      </c>
      <c r="C37">
        <v>4.91887514385445</v>
      </c>
      <c r="E37" s="2">
        <v>10592201</v>
      </c>
      <c r="F37" t="str">
        <f t="shared" si="0"/>
        <v>Affy 1.0 ST</v>
      </c>
      <c r="G37" t="s">
        <v>2165</v>
      </c>
      <c r="H37" t="str">
        <f>"Chek1"</f>
        <v>Chek1</v>
      </c>
      <c r="I37" t="str">
        <f>"checkpoint kinase 1 homolog (S. pombe)"</f>
        <v>checkpoint kinase 1 homolog (S. pombe)</v>
      </c>
      <c r="O37" s="3">
        <f>MATCH(A37,'actMatureT&amp;NK'!$A$6:$A$336,0)</f>
        <v>34</v>
      </c>
      <c r="Q37" s="3">
        <f>MATCH(A37,'actImmT&amp;B'!$A$6:$A$879,0)</f>
        <v>42</v>
      </c>
      <c r="S37" s="3" t="e">
        <f>MATCH(A37,'GC-Bcell vs actMatureT&amp;NK,MZ'!$A$6:$A$698,0)</f>
        <v>#N/A</v>
      </c>
      <c r="U37" s="3" t="e">
        <f>MATCH(A37,'GC-Bcell vs actImmatureT&amp;B, MZ'!$A$6:$A$458,0)</f>
        <v>#N/A</v>
      </c>
    </row>
    <row r="38" spans="1:21">
      <c r="A38">
        <v>10525591</v>
      </c>
      <c r="B38">
        <v>12.1827900755623</v>
      </c>
      <c r="C38">
        <v>4.9678957855768298</v>
      </c>
      <c r="E38" s="2">
        <v>10525591</v>
      </c>
      <c r="F38" t="str">
        <f t="shared" si="0"/>
        <v>Affy 1.0 ST</v>
      </c>
      <c r="G38" t="s">
        <v>2166</v>
      </c>
      <c r="H38" t="str">
        <f>"Kntc1"</f>
        <v>Kntc1</v>
      </c>
      <c r="I38" t="str">
        <f>"kinetochore associated 1"</f>
        <v>kinetochore associated 1</v>
      </c>
      <c r="O38" s="3">
        <f>MATCH(A38,'actMatureT&amp;NK'!$A$6:$A$336,0)</f>
        <v>35</v>
      </c>
      <c r="Q38" s="3">
        <f>MATCH(A38,'actImmT&amp;B'!$A$6:$A$879,0)</f>
        <v>45</v>
      </c>
      <c r="S38" s="3" t="e">
        <f>MATCH(A38,'GC-Bcell vs actMatureT&amp;NK,MZ'!$A$6:$A$698,0)</f>
        <v>#N/A</v>
      </c>
      <c r="U38" s="3" t="e">
        <f>MATCH(A38,'GC-Bcell vs actImmatureT&amp;B, MZ'!$A$6:$A$458,0)</f>
        <v>#N/A</v>
      </c>
    </row>
    <row r="39" spans="1:21">
      <c r="A39">
        <v>10506680</v>
      </c>
      <c r="B39">
        <v>11.9884750213876</v>
      </c>
      <c r="C39">
        <v>3.7501845192629699</v>
      </c>
      <c r="E39" s="2">
        <v>10506680</v>
      </c>
      <c r="F39" t="str">
        <f t="shared" si="0"/>
        <v>Affy 1.0 ST</v>
      </c>
      <c r="G39" t="s">
        <v>1662</v>
      </c>
      <c r="H39" t="str">
        <f>"Tmem48"</f>
        <v>Tmem48</v>
      </c>
      <c r="I39" t="str">
        <f>"transmembrane protein 48"</f>
        <v>transmembrane protein 48</v>
      </c>
      <c r="O39" s="3" t="e">
        <f>MATCH(A39,'actMatureT&amp;NK'!$A$6:$A$336,0)</f>
        <v>#N/A</v>
      </c>
      <c r="Q39" s="3">
        <f>MATCH(A39,'actImmT&amp;B'!$A$6:$A$879,0)</f>
        <v>237</v>
      </c>
      <c r="S39" s="3">
        <f>MATCH(A39,'GC-Bcell vs actMatureT&amp;NK,MZ'!$A$6:$A$698,0)</f>
        <v>72</v>
      </c>
      <c r="U39" s="3">
        <f>MATCH(A39,'GC-Bcell vs actImmatureT&amp;B, MZ'!$A$6:$A$458,0)</f>
        <v>113</v>
      </c>
    </row>
    <row r="40" spans="1:21">
      <c r="A40">
        <v>10421029</v>
      </c>
      <c r="B40">
        <v>11.4833929606648</v>
      </c>
      <c r="C40">
        <v>5.0302624136045502</v>
      </c>
      <c r="E40" s="2">
        <v>10421029</v>
      </c>
      <c r="F40" t="str">
        <f t="shared" si="0"/>
        <v>Affy 1.0 ST</v>
      </c>
      <c r="G40" t="s">
        <v>1696</v>
      </c>
      <c r="H40" t="str">
        <f>"Cdca2"</f>
        <v>Cdca2</v>
      </c>
      <c r="I40" t="str">
        <f>"cell division cycle associated 2"</f>
        <v>cell division cycle associated 2</v>
      </c>
      <c r="O40" s="3">
        <f>MATCH(A40,'actMatureT&amp;NK'!$A$6:$A$336,0)</f>
        <v>120</v>
      </c>
      <c r="Q40" s="3">
        <f>MATCH(A40,'actImmT&amp;B'!$A$6:$A$879,0)</f>
        <v>58</v>
      </c>
      <c r="S40" s="3">
        <f>MATCH(A40,'GC-Bcell vs actMatureT&amp;NK,MZ'!$A$6:$A$698,0)</f>
        <v>85</v>
      </c>
      <c r="U40" s="3" t="e">
        <f>MATCH(A40,'GC-Bcell vs actImmatureT&amp;B, MZ'!$A$6:$A$458,0)</f>
        <v>#N/A</v>
      </c>
    </row>
    <row r="41" spans="1:21">
      <c r="A41">
        <v>10489391</v>
      </c>
      <c r="B41">
        <v>11.4300325054068</v>
      </c>
      <c r="C41">
        <v>3.4948449277534799</v>
      </c>
      <c r="E41" s="2">
        <v>10489391</v>
      </c>
      <c r="F41" t="str">
        <f t="shared" si="0"/>
        <v>Affy 1.0 ST</v>
      </c>
      <c r="G41" t="s">
        <v>1868</v>
      </c>
      <c r="H41" t="str">
        <f>"Ada"</f>
        <v>Ada</v>
      </c>
      <c r="I41" t="str">
        <f>"adenosine deaminase"</f>
        <v>adenosine deaminase</v>
      </c>
      <c r="O41" s="3" t="e">
        <f>MATCH(A41,'actMatureT&amp;NK'!$A$6:$A$336,0)</f>
        <v>#N/A</v>
      </c>
      <c r="Q41" s="3" t="e">
        <f>MATCH(A41,'actImmT&amp;B'!$A$6:$A$879,0)</f>
        <v>#N/A</v>
      </c>
      <c r="S41" s="3">
        <f>MATCH(A41,'GC-Bcell vs actMatureT&amp;NK,MZ'!$A$6:$A$698,0)</f>
        <v>33</v>
      </c>
      <c r="U41" s="3">
        <f>MATCH(A41,'GC-Bcell vs actImmatureT&amp;B, MZ'!$A$6:$A$458,0)</f>
        <v>60</v>
      </c>
    </row>
    <row r="42" spans="1:21">
      <c r="A42">
        <v>10547088</v>
      </c>
      <c r="B42">
        <v>10.806854022964099</v>
      </c>
      <c r="C42">
        <v>3.2242159650987801</v>
      </c>
      <c r="E42" s="2">
        <v>10547088</v>
      </c>
      <c r="F42" t="str">
        <f t="shared" si="0"/>
        <v>Affy 1.0 ST</v>
      </c>
      <c r="G42" t="s">
        <v>1560</v>
      </c>
      <c r="H42" t="str">
        <f>"Mbd4"</f>
        <v>Mbd4</v>
      </c>
      <c r="I42" t="str">
        <f>"methyl-CpG binding domain protein 4"</f>
        <v>methyl-CpG binding domain protein 4</v>
      </c>
      <c r="O42" s="3" t="e">
        <f>MATCH(A42,'actMatureT&amp;NK'!$A$6:$A$336,0)</f>
        <v>#N/A</v>
      </c>
      <c r="Q42" s="3">
        <f>MATCH(A42,'actImmT&amp;B'!$A$6:$A$879,0)</f>
        <v>339</v>
      </c>
      <c r="S42" s="3">
        <f>MATCH(A42,'GC-Bcell vs actMatureT&amp;NK,MZ'!$A$6:$A$698,0)</f>
        <v>98</v>
      </c>
      <c r="U42" s="3">
        <f>MATCH(A42,'GC-Bcell vs actImmatureT&amp;B, MZ'!$A$6:$A$458,0)</f>
        <v>151</v>
      </c>
    </row>
    <row r="43" spans="1:21">
      <c r="A43">
        <v>10371591</v>
      </c>
      <c r="B43">
        <v>10.4819354665078</v>
      </c>
      <c r="C43">
        <v>3.8763011071373201</v>
      </c>
      <c r="E43" s="2">
        <v>10371591</v>
      </c>
      <c r="F43" t="str">
        <f t="shared" si="0"/>
        <v>Affy 1.0 ST</v>
      </c>
      <c r="G43" t="s">
        <v>2167</v>
      </c>
      <c r="H43" t="str">
        <f>"4930547N16Rik"</f>
        <v>4930547N16Rik</v>
      </c>
      <c r="I43" t="str">
        <f>"RIKEN cDNA 4930547N16 gene"</f>
        <v>RIKEN cDNA 4930547N16 gene</v>
      </c>
      <c r="O43" s="3">
        <f>MATCH(A43,'actMatureT&amp;NK'!$A$6:$A$336,0)</f>
        <v>101</v>
      </c>
      <c r="Q43" s="3">
        <f>MATCH(A43,'actImmT&amp;B'!$A$6:$A$879,0)</f>
        <v>76</v>
      </c>
      <c r="S43" s="3" t="e">
        <f>MATCH(A43,'GC-Bcell vs actMatureT&amp;NK,MZ'!$A$6:$A$698,0)</f>
        <v>#N/A</v>
      </c>
      <c r="U43" s="3" t="e">
        <f>MATCH(A43,'GC-Bcell vs actImmatureT&amp;B, MZ'!$A$6:$A$458,0)</f>
        <v>#N/A</v>
      </c>
    </row>
    <row r="44" spans="1:21">
      <c r="A44">
        <v>10538832</v>
      </c>
      <c r="B44">
        <v>10.240694054884299</v>
      </c>
      <c r="C44">
        <v>6.1411672131408697</v>
      </c>
      <c r="E44" s="2">
        <v>10538832</v>
      </c>
      <c r="F44" t="str">
        <f t="shared" si="0"/>
        <v>Affy 1.0 ST</v>
      </c>
      <c r="G44" t="s">
        <v>2168</v>
      </c>
      <c r="H44" t="str">
        <f>"Mad2l1"</f>
        <v>Mad2l1</v>
      </c>
      <c r="I44" t="str">
        <f>"MAD2 mitotic arrest deficient-like 1 (yeast)"</f>
        <v>MAD2 mitotic arrest deficient-like 1 (yeast)</v>
      </c>
      <c r="O44" s="3">
        <f>MATCH(A44,'actMatureT&amp;NK'!$A$6:$A$336,0)</f>
        <v>131</v>
      </c>
      <c r="Q44" s="3">
        <f>MATCH(A44,'actImmT&amp;B'!$A$6:$A$879,0)</f>
        <v>88</v>
      </c>
      <c r="S44" s="3" t="e">
        <f>MATCH(A44,'GC-Bcell vs actMatureT&amp;NK,MZ'!$A$6:$A$698,0)</f>
        <v>#N/A</v>
      </c>
      <c r="U44" s="3" t="e">
        <f>MATCH(A44,'GC-Bcell vs actImmatureT&amp;B, MZ'!$A$6:$A$458,0)</f>
        <v>#N/A</v>
      </c>
    </row>
    <row r="45" spans="1:21">
      <c r="A45">
        <v>10384373</v>
      </c>
      <c r="B45">
        <v>10.050250854091701</v>
      </c>
      <c r="C45">
        <v>3.7796369296457302</v>
      </c>
      <c r="E45" s="2">
        <v>10384373</v>
      </c>
      <c r="F45" t="str">
        <f t="shared" si="0"/>
        <v>Affy 1.0 ST</v>
      </c>
      <c r="G45" t="s">
        <v>2169</v>
      </c>
      <c r="H45" t="str">
        <f>"Fignl1"</f>
        <v>Fignl1</v>
      </c>
      <c r="I45" t="str">
        <f>"fidgetin-like 1"</f>
        <v>fidgetin-like 1</v>
      </c>
      <c r="O45" s="3">
        <f>MATCH(A45,'actMatureT&amp;NK'!$A$6:$A$336,0)</f>
        <v>42</v>
      </c>
      <c r="Q45" s="3">
        <f>MATCH(A45,'actImmT&amp;B'!$A$6:$A$879,0)</f>
        <v>87</v>
      </c>
      <c r="S45" s="3" t="e">
        <f>MATCH(A45,'GC-Bcell vs actMatureT&amp;NK,MZ'!$A$6:$A$698,0)</f>
        <v>#N/A</v>
      </c>
      <c r="U45" s="3" t="e">
        <f>MATCH(A45,'GC-Bcell vs actImmatureT&amp;B, MZ'!$A$6:$A$458,0)</f>
        <v>#N/A</v>
      </c>
    </row>
    <row r="46" spans="1:21">
      <c r="A46">
        <v>10524169</v>
      </c>
      <c r="B46">
        <v>10.0365586299194</v>
      </c>
      <c r="C46">
        <v>4.8522641151587598</v>
      </c>
      <c r="E46" s="2">
        <v>10524169</v>
      </c>
      <c r="F46" t="str">
        <f t="shared" si="0"/>
        <v>Affy 1.0 ST</v>
      </c>
      <c r="G46" t="s">
        <v>2170</v>
      </c>
      <c r="H46" t="str">
        <f>"Pole"</f>
        <v>Pole</v>
      </c>
      <c r="I46" t="s">
        <v>2083</v>
      </c>
      <c r="O46" s="3">
        <f>MATCH(A46,'actMatureT&amp;NK'!$A$6:$A$336,0)</f>
        <v>95</v>
      </c>
      <c r="Q46" s="3">
        <f>MATCH(A46,'actImmT&amp;B'!$A$6:$A$879,0)</f>
        <v>48</v>
      </c>
      <c r="S46" s="3" t="e">
        <f>MATCH(A46,'GC-Bcell vs actMatureT&amp;NK,MZ'!$A$6:$A$698,0)</f>
        <v>#N/A</v>
      </c>
      <c r="U46" s="3" t="e">
        <f>MATCH(A46,'GC-Bcell vs actImmatureT&amp;B, MZ'!$A$6:$A$458,0)</f>
        <v>#N/A</v>
      </c>
    </row>
    <row r="47" spans="1:21">
      <c r="A47">
        <v>10406968</v>
      </c>
      <c r="B47">
        <v>9.9054182353175602</v>
      </c>
      <c r="C47">
        <v>2.94010714042843</v>
      </c>
      <c r="E47" s="2">
        <v>10406968</v>
      </c>
      <c r="F47" t="str">
        <f t="shared" si="0"/>
        <v>Affy 1.0 ST</v>
      </c>
      <c r="G47" t="s">
        <v>2171</v>
      </c>
      <c r="H47" t="str">
        <f>"Cenpk"</f>
        <v>Cenpk</v>
      </c>
      <c r="I47" t="str">
        <f>"centromere protein K"</f>
        <v>centromere protein K</v>
      </c>
      <c r="O47" s="3">
        <f>MATCH(A47,'actMatureT&amp;NK'!$A$6:$A$336,0)</f>
        <v>78</v>
      </c>
      <c r="Q47" s="3">
        <f>MATCH(A47,'actImmT&amp;B'!$A$6:$A$879,0)</f>
        <v>75</v>
      </c>
      <c r="S47" s="3" t="e">
        <f>MATCH(A47,'GC-Bcell vs actMatureT&amp;NK,MZ'!$A$6:$A$698,0)</f>
        <v>#N/A</v>
      </c>
      <c r="U47" s="3" t="e">
        <f>MATCH(A47,'GC-Bcell vs actImmatureT&amp;B, MZ'!$A$6:$A$458,0)</f>
        <v>#N/A</v>
      </c>
    </row>
    <row r="48" spans="1:21">
      <c r="A48">
        <v>10451225</v>
      </c>
      <c r="B48">
        <v>9.8726721306689793</v>
      </c>
      <c r="C48">
        <v>3.8592834838019998</v>
      </c>
      <c r="E48" s="2">
        <v>10451225</v>
      </c>
      <c r="F48" t="str">
        <f t="shared" si="0"/>
        <v>Affy 1.0 ST</v>
      </c>
      <c r="G48" t="s">
        <v>1563</v>
      </c>
      <c r="H48" t="str">
        <f>"Polh"</f>
        <v>Polh</v>
      </c>
      <c r="I48" t="s">
        <v>2084</v>
      </c>
      <c r="O48" s="3" t="e">
        <f>MATCH(A48,'actMatureT&amp;NK'!$A$6:$A$336,0)</f>
        <v>#N/A</v>
      </c>
      <c r="Q48" s="3">
        <f>MATCH(A48,'actImmT&amp;B'!$A$6:$A$879,0)</f>
        <v>288</v>
      </c>
      <c r="S48" s="3">
        <f>MATCH(A48,'GC-Bcell vs actMatureT&amp;NK,MZ'!$A$6:$A$698,0)</f>
        <v>99</v>
      </c>
      <c r="U48" s="3" t="e">
        <f>MATCH(A48,'GC-Bcell vs actImmatureT&amp;B, MZ'!$A$6:$A$458,0)</f>
        <v>#N/A</v>
      </c>
    </row>
    <row r="49" spans="1:21">
      <c r="A49">
        <v>10411728</v>
      </c>
      <c r="B49">
        <v>9.6385463322875697</v>
      </c>
      <c r="C49">
        <v>3.0046140295416599</v>
      </c>
      <c r="E49" s="2">
        <v>10411728</v>
      </c>
      <c r="F49" t="str">
        <f t="shared" si="0"/>
        <v>Affy 1.0 ST</v>
      </c>
      <c r="G49" t="s">
        <v>2172</v>
      </c>
      <c r="H49" t="str">
        <f>"Cenph"</f>
        <v>Cenph</v>
      </c>
      <c r="I49" t="str">
        <f>"centromere protein H"</f>
        <v>centromere protein H</v>
      </c>
      <c r="O49" s="3">
        <f>MATCH(A49,'actMatureT&amp;NK'!$A$6:$A$336,0)</f>
        <v>110</v>
      </c>
      <c r="Q49" s="3">
        <f>MATCH(A49,'actImmT&amp;B'!$A$6:$A$879,0)</f>
        <v>93</v>
      </c>
      <c r="S49" s="3" t="e">
        <f>MATCH(A49,'GC-Bcell vs actMatureT&amp;NK,MZ'!$A$6:$A$698,0)</f>
        <v>#N/A</v>
      </c>
      <c r="U49" s="3" t="e">
        <f>MATCH(A49,'GC-Bcell vs actImmatureT&amp;B, MZ'!$A$6:$A$458,0)</f>
        <v>#N/A</v>
      </c>
    </row>
    <row r="50" spans="1:21">
      <c r="A50">
        <v>10350392</v>
      </c>
      <c r="B50">
        <v>9.5951954565697992</v>
      </c>
      <c r="C50">
        <v>3.7863636826246099</v>
      </c>
      <c r="E50" s="2">
        <v>10350392</v>
      </c>
      <c r="F50" t="str">
        <f t="shared" si="0"/>
        <v>Affy 1.0 ST</v>
      </c>
      <c r="G50" t="s">
        <v>2173</v>
      </c>
      <c r="H50" t="str">
        <f>"Aspm"</f>
        <v>Aspm</v>
      </c>
      <c r="I50" t="s">
        <v>2085</v>
      </c>
      <c r="O50" s="3">
        <f>MATCH(A50,'actMatureT&amp;NK'!$A$6:$A$336,0)</f>
        <v>67</v>
      </c>
      <c r="Q50" s="3">
        <f>MATCH(A50,'actImmT&amp;B'!$A$6:$A$879,0)</f>
        <v>21</v>
      </c>
      <c r="S50" s="3" t="e">
        <f>MATCH(A50,'GC-Bcell vs actMatureT&amp;NK,MZ'!$A$6:$A$698,0)</f>
        <v>#N/A</v>
      </c>
      <c r="U50" s="3" t="e">
        <f>MATCH(A50,'GC-Bcell vs actImmatureT&amp;B, MZ'!$A$6:$A$458,0)</f>
        <v>#N/A</v>
      </c>
    </row>
    <row r="51" spans="1:21">
      <c r="A51">
        <v>10605674</v>
      </c>
      <c r="B51">
        <v>9.48310037947188</v>
      </c>
      <c r="C51">
        <v>3.9952723610908998</v>
      </c>
      <c r="E51" s="2">
        <v>10605674</v>
      </c>
      <c r="F51" t="str">
        <f t="shared" si="0"/>
        <v>Affy 1.0 ST</v>
      </c>
      <c r="G51" t="s">
        <v>2174</v>
      </c>
      <c r="H51" t="str">
        <f>"Pola1"</f>
        <v>Pola1</v>
      </c>
      <c r="I51" t="s">
        <v>2086</v>
      </c>
      <c r="O51" s="3">
        <f>MATCH(A51,'actMatureT&amp;NK'!$A$6:$A$336,0)</f>
        <v>99</v>
      </c>
      <c r="Q51" s="3">
        <f>MATCH(A51,'actImmT&amp;B'!$A$6:$A$879,0)</f>
        <v>79</v>
      </c>
      <c r="S51" s="3" t="e">
        <f>MATCH(A51,'GC-Bcell vs actMatureT&amp;NK,MZ'!$A$6:$A$698,0)</f>
        <v>#N/A</v>
      </c>
      <c r="U51" s="3" t="e">
        <f>MATCH(A51,'GC-Bcell vs actImmatureT&amp;B, MZ'!$A$6:$A$458,0)</f>
        <v>#N/A</v>
      </c>
    </row>
    <row r="52" spans="1:21">
      <c r="A52">
        <v>10573261</v>
      </c>
      <c r="B52">
        <v>9.2374532839994394</v>
      </c>
      <c r="C52">
        <v>4.2181728631018096</v>
      </c>
      <c r="E52" s="2">
        <v>10573261</v>
      </c>
      <c r="F52" t="str">
        <f t="shared" si="0"/>
        <v>Affy 1.0 ST</v>
      </c>
      <c r="G52" t="s">
        <v>2175</v>
      </c>
      <c r="H52" t="str">
        <f>"Asf1b"</f>
        <v>Asf1b</v>
      </c>
      <c r="I52" t="str">
        <f>"ASF1 anti-silencing function 1 homolog B (S. cerevisiae)"</f>
        <v>ASF1 anti-silencing function 1 homolog B (S. cerevisiae)</v>
      </c>
      <c r="O52" s="3">
        <f>MATCH(A52,'actMatureT&amp;NK'!$A$6:$A$336,0)</f>
        <v>49</v>
      </c>
      <c r="Q52" s="3">
        <f>MATCH(A52,'actImmT&amp;B'!$A$6:$A$879,0)</f>
        <v>82</v>
      </c>
      <c r="S52" s="3" t="e">
        <f>MATCH(A52,'GC-Bcell vs actMatureT&amp;NK,MZ'!$A$6:$A$698,0)</f>
        <v>#N/A</v>
      </c>
      <c r="U52" s="3" t="e">
        <f>MATCH(A52,'GC-Bcell vs actImmatureT&amp;B, MZ'!$A$6:$A$458,0)</f>
        <v>#N/A</v>
      </c>
    </row>
    <row r="53" spans="1:21">
      <c r="A53">
        <v>10481931</v>
      </c>
      <c r="B53">
        <v>9.2088448301712198</v>
      </c>
      <c r="C53">
        <v>1.8710090039012801</v>
      </c>
      <c r="E53" s="2">
        <v>10481931</v>
      </c>
      <c r="F53" t="str">
        <f t="shared" si="0"/>
        <v>Affy 1.0 ST</v>
      </c>
      <c r="G53" t="s">
        <v>1578</v>
      </c>
      <c r="H53" t="str">
        <f>"Phf19"</f>
        <v>Phf19</v>
      </c>
      <c r="I53" t="str">
        <f>"PHD finger protein 19"</f>
        <v>PHD finger protein 19</v>
      </c>
      <c r="O53" s="3" t="e">
        <f>MATCH(A53,'actMatureT&amp;NK'!$A$6:$A$336,0)</f>
        <v>#N/A</v>
      </c>
      <c r="Q53" s="3">
        <f>MATCH(A53,'actImmT&amp;B'!$A$6:$A$879,0)</f>
        <v>307</v>
      </c>
      <c r="S53" s="3">
        <f>MATCH(A53,'GC-Bcell vs actMatureT&amp;NK,MZ'!$A$6:$A$698,0)</f>
        <v>107</v>
      </c>
      <c r="U53" s="3">
        <f>MATCH(A53,'GC-Bcell vs actImmatureT&amp;B, MZ'!$A$6:$A$458,0)</f>
        <v>165</v>
      </c>
    </row>
    <row r="54" spans="1:21">
      <c r="A54">
        <v>10395277</v>
      </c>
      <c r="B54">
        <v>9.0839260656273204</v>
      </c>
      <c r="C54">
        <v>5.5440036672373996</v>
      </c>
      <c r="E54" s="2">
        <v>10395277</v>
      </c>
      <c r="F54" t="str">
        <f t="shared" si="0"/>
        <v>Affy 1.0 ST</v>
      </c>
      <c r="G54" t="s">
        <v>1481</v>
      </c>
      <c r="H54" t="str">
        <f>"Sypl"</f>
        <v>Sypl</v>
      </c>
      <c r="I54" t="str">
        <f>"synaptophysin-like protein"</f>
        <v>synaptophysin-like protein</v>
      </c>
      <c r="O54" s="3" t="e">
        <f>MATCH(A54,'actMatureT&amp;NK'!$A$6:$A$336,0)</f>
        <v>#N/A</v>
      </c>
      <c r="Q54" s="3" t="e">
        <f>MATCH(A54,'actImmT&amp;B'!$A$6:$A$879,0)</f>
        <v>#N/A</v>
      </c>
      <c r="S54" s="3">
        <f>MATCH(A54,'GC-Bcell vs actMatureT&amp;NK,MZ'!$A$6:$A$698,0)</f>
        <v>136</v>
      </c>
      <c r="U54" s="3">
        <f>MATCH(A54,'GC-Bcell vs actImmatureT&amp;B, MZ'!$A$6:$A$458,0)</f>
        <v>110</v>
      </c>
    </row>
    <row r="55" spans="1:21">
      <c r="A55">
        <v>10586184</v>
      </c>
      <c r="B55">
        <v>9.0637719642974393</v>
      </c>
      <c r="C55">
        <v>3.7334508128005899</v>
      </c>
      <c r="E55" s="2">
        <v>10586184</v>
      </c>
      <c r="F55" t="str">
        <f t="shared" si="0"/>
        <v>Affy 1.0 ST</v>
      </c>
      <c r="G55" t="s">
        <v>2176</v>
      </c>
      <c r="H55" t="str">
        <f>"Tipin"</f>
        <v>Tipin</v>
      </c>
      <c r="I55" t="str">
        <f>"timeless interacting protein"</f>
        <v>timeless interacting protein</v>
      </c>
      <c r="O55" s="3">
        <f>MATCH(A55,'actMatureT&amp;NK'!$A$6:$A$336,0)</f>
        <v>114</v>
      </c>
      <c r="Q55" s="3">
        <f>MATCH(A55,'actImmT&amp;B'!$A$6:$A$879,0)</f>
        <v>147</v>
      </c>
      <c r="S55" s="3" t="e">
        <f>MATCH(A55,'GC-Bcell vs actMatureT&amp;NK,MZ'!$A$6:$A$698,0)</f>
        <v>#N/A</v>
      </c>
      <c r="U55" s="3" t="e">
        <f>MATCH(A55,'GC-Bcell vs actImmatureT&amp;B, MZ'!$A$6:$A$458,0)</f>
        <v>#N/A</v>
      </c>
    </row>
    <row r="56" spans="1:21">
      <c r="A56">
        <v>10399391</v>
      </c>
      <c r="B56">
        <v>8.9843407079523008</v>
      </c>
      <c r="C56">
        <v>3.1478794990588499</v>
      </c>
      <c r="E56" s="2">
        <v>10399391</v>
      </c>
      <c r="F56" t="str">
        <f t="shared" si="0"/>
        <v>Affy 1.0 ST</v>
      </c>
      <c r="G56" t="s">
        <v>2114</v>
      </c>
      <c r="H56" t="str">
        <f>"Gen1"</f>
        <v>Gen1</v>
      </c>
      <c r="I56" t="s">
        <v>2087</v>
      </c>
      <c r="O56" s="3">
        <f>MATCH(A56,'actMatureT&amp;NK'!$A$6:$A$336,0)</f>
        <v>156</v>
      </c>
      <c r="Q56" s="3">
        <f>MATCH(A56,'actImmT&amp;B'!$A$6:$A$879,0)</f>
        <v>123</v>
      </c>
      <c r="S56" s="3" t="e">
        <f>MATCH(A56,'GC-Bcell vs actMatureT&amp;NK,MZ'!$A$6:$A$698,0)</f>
        <v>#N/A</v>
      </c>
      <c r="U56" s="3" t="e">
        <f>MATCH(A56,'GC-Bcell vs actImmatureT&amp;B, MZ'!$A$6:$A$458,0)</f>
        <v>#N/A</v>
      </c>
    </row>
    <row r="57" spans="1:21">
      <c r="A57">
        <v>10480432</v>
      </c>
      <c r="B57">
        <v>8.9529546463033203</v>
      </c>
      <c r="C57">
        <v>2.9840548558561499</v>
      </c>
      <c r="E57" s="2">
        <v>10480432</v>
      </c>
      <c r="F57" t="str">
        <f t="shared" si="0"/>
        <v>Affy 1.0 ST</v>
      </c>
      <c r="G57" t="s">
        <v>2115</v>
      </c>
      <c r="H57" t="str">
        <f>"Mastl"</f>
        <v>Mastl</v>
      </c>
      <c r="I57" t="str">
        <f>"microtubule associated serine/threonine kinase-like"</f>
        <v>microtubule associated serine/threonine kinase-like</v>
      </c>
      <c r="O57" s="3">
        <f>MATCH(A57,'actMatureT&amp;NK'!$A$6:$A$336,0)</f>
        <v>75</v>
      </c>
      <c r="Q57" s="3">
        <f>MATCH(A57,'actImmT&amp;B'!$A$6:$A$879,0)</f>
        <v>50</v>
      </c>
      <c r="S57" s="3" t="e">
        <f>MATCH(A57,'GC-Bcell vs actMatureT&amp;NK,MZ'!$A$6:$A$698,0)</f>
        <v>#N/A</v>
      </c>
      <c r="U57" s="3" t="e">
        <f>MATCH(A57,'GC-Bcell vs actImmatureT&amp;B, MZ'!$A$6:$A$458,0)</f>
        <v>#N/A</v>
      </c>
    </row>
    <row r="58" spans="1:21">
      <c r="A58">
        <v>10578690</v>
      </c>
      <c r="B58">
        <v>8.9220350676615698</v>
      </c>
      <c r="C58">
        <v>3.6968251801197201</v>
      </c>
      <c r="E58" s="2">
        <v>10578690</v>
      </c>
      <c r="F58" t="str">
        <f t="shared" si="0"/>
        <v>Affy 1.0 ST</v>
      </c>
      <c r="G58" t="s">
        <v>2116</v>
      </c>
      <c r="H58" t="str">
        <f>"Neil3"</f>
        <v>Neil3</v>
      </c>
      <c r="I58" t="str">
        <f>"nei like 3 (E. coli)"</f>
        <v>nei like 3 (E. coli)</v>
      </c>
      <c r="O58" s="3">
        <f>MATCH(A58,'actMatureT&amp;NK'!$A$6:$A$336,0)</f>
        <v>51</v>
      </c>
      <c r="Q58" s="3">
        <f>MATCH(A58,'actImmT&amp;B'!$A$6:$A$879,0)</f>
        <v>28</v>
      </c>
      <c r="S58" s="3" t="e">
        <f>MATCH(A58,'GC-Bcell vs actMatureT&amp;NK,MZ'!$A$6:$A$698,0)</f>
        <v>#N/A</v>
      </c>
      <c r="U58" s="3" t="e">
        <f>MATCH(A58,'GC-Bcell vs actImmatureT&amp;B, MZ'!$A$6:$A$458,0)</f>
        <v>#N/A</v>
      </c>
    </row>
    <row r="59" spans="1:21">
      <c r="A59">
        <v>10389395</v>
      </c>
      <c r="B59">
        <v>8.6049328902501205</v>
      </c>
      <c r="C59">
        <v>3.3069749833902899</v>
      </c>
      <c r="E59" s="2">
        <v>10389395</v>
      </c>
      <c r="F59" t="str">
        <f t="shared" si="0"/>
        <v>Affy 1.0 ST</v>
      </c>
      <c r="G59" t="s">
        <v>2117</v>
      </c>
      <c r="H59" t="str">
        <f>"Brip1"</f>
        <v>Brip1</v>
      </c>
      <c r="I59" t="str">
        <f>"BRCA1 interacting protein C-terminal helicase 1"</f>
        <v>BRCA1 interacting protein C-terminal helicase 1</v>
      </c>
      <c r="O59" s="3">
        <f>MATCH(A59,'actMatureT&amp;NK'!$A$6:$A$336,0)</f>
        <v>57</v>
      </c>
      <c r="Q59" s="3">
        <f>MATCH(A59,'actImmT&amp;B'!$A$6:$A$879,0)</f>
        <v>130</v>
      </c>
      <c r="S59" s="3" t="e">
        <f>MATCH(A59,'GC-Bcell vs actMatureT&amp;NK,MZ'!$A$6:$A$698,0)</f>
        <v>#N/A</v>
      </c>
      <c r="U59" s="3" t="e">
        <f>MATCH(A59,'GC-Bcell vs actImmatureT&amp;B, MZ'!$A$6:$A$458,0)</f>
        <v>#N/A</v>
      </c>
    </row>
    <row r="60" spans="1:21">
      <c r="A60">
        <v>10554325</v>
      </c>
      <c r="B60">
        <v>8.5930820283135994</v>
      </c>
      <c r="C60">
        <v>3.02432472743223</v>
      </c>
      <c r="E60" s="2">
        <v>10554325</v>
      </c>
      <c r="F60" t="str">
        <f t="shared" si="0"/>
        <v>Affy 1.0 ST</v>
      </c>
      <c r="G60" t="s">
        <v>2118</v>
      </c>
      <c r="H60" t="str">
        <f>"5730590G19Rik"</f>
        <v>5730590G19Rik</v>
      </c>
      <c r="I60" t="str">
        <f>"RIKEN cDNA 5730590G19 gene"</f>
        <v>RIKEN cDNA 5730590G19 gene</v>
      </c>
      <c r="O60" s="3">
        <f>MATCH(A60,'actMatureT&amp;NK'!$A$6:$A$336,0)</f>
        <v>90</v>
      </c>
      <c r="Q60" s="3">
        <f>MATCH(A60,'actImmT&amp;B'!$A$6:$A$879,0)</f>
        <v>51</v>
      </c>
      <c r="S60" s="3" t="e">
        <f>MATCH(A60,'GC-Bcell vs actMatureT&amp;NK,MZ'!$A$6:$A$698,0)</f>
        <v>#N/A</v>
      </c>
      <c r="U60" s="3" t="e">
        <f>MATCH(A60,'GC-Bcell vs actImmatureT&amp;B, MZ'!$A$6:$A$458,0)</f>
        <v>#N/A</v>
      </c>
    </row>
    <row r="61" spans="1:21">
      <c r="A61">
        <v>10575733</v>
      </c>
      <c r="B61">
        <v>8.5835374973326104</v>
      </c>
      <c r="C61">
        <v>3.1176241128015501</v>
      </c>
      <c r="E61" s="2">
        <v>10575733</v>
      </c>
      <c r="F61" t="str">
        <f t="shared" si="0"/>
        <v>Affy 1.0 ST</v>
      </c>
      <c r="G61" t="s">
        <v>2119</v>
      </c>
      <c r="H61" t="str">
        <f>"Cenpn"</f>
        <v>Cenpn</v>
      </c>
      <c r="I61" t="str">
        <f>"centromere protein N"</f>
        <v>centromere protein N</v>
      </c>
      <c r="O61" s="3">
        <f>MATCH(A61,'actMatureT&amp;NK'!$A$6:$A$336,0)</f>
        <v>136</v>
      </c>
      <c r="Q61" s="3">
        <f>MATCH(A61,'actImmT&amp;B'!$A$6:$A$879,0)</f>
        <v>99</v>
      </c>
      <c r="S61" s="3" t="e">
        <f>MATCH(A61,'GC-Bcell vs actMatureT&amp;NK,MZ'!$A$6:$A$698,0)</f>
        <v>#N/A</v>
      </c>
      <c r="U61" s="3" t="e">
        <f>MATCH(A61,'GC-Bcell vs actImmatureT&amp;B, MZ'!$A$6:$A$458,0)</f>
        <v>#N/A</v>
      </c>
    </row>
    <row r="62" spans="1:21">
      <c r="A62">
        <v>10379363</v>
      </c>
      <c r="B62">
        <v>8.5208932881689208</v>
      </c>
      <c r="C62">
        <v>3.2377716733452302</v>
      </c>
      <c r="E62" s="2">
        <v>10379363</v>
      </c>
      <c r="F62" t="str">
        <f t="shared" si="0"/>
        <v>Affy 1.0 ST</v>
      </c>
      <c r="G62" t="s">
        <v>2120</v>
      </c>
      <c r="H62" t="str">
        <f>"Atad5"</f>
        <v>Atad5</v>
      </c>
      <c r="I62" t="s">
        <v>2088</v>
      </c>
      <c r="O62" s="3">
        <f>MATCH(A62,'actMatureT&amp;NK'!$A$6:$A$336,0)</f>
        <v>61</v>
      </c>
      <c r="Q62" s="3">
        <f>MATCH(A62,'actImmT&amp;B'!$A$6:$A$879,0)</f>
        <v>218</v>
      </c>
      <c r="S62" s="3" t="e">
        <f>MATCH(A62,'GC-Bcell vs actMatureT&amp;NK,MZ'!$A$6:$A$698,0)</f>
        <v>#N/A</v>
      </c>
      <c r="U62" s="3" t="e">
        <f>MATCH(A62,'GC-Bcell vs actImmatureT&amp;B, MZ'!$A$6:$A$458,0)</f>
        <v>#N/A</v>
      </c>
    </row>
    <row r="63" spans="1:21">
      <c r="A63">
        <v>10523012</v>
      </c>
      <c r="B63">
        <v>8.5185275254637105</v>
      </c>
      <c r="C63">
        <v>5.0460766794272001</v>
      </c>
      <c r="E63" s="2">
        <v>10523012</v>
      </c>
      <c r="F63" t="str">
        <f t="shared" si="0"/>
        <v>Affy 1.0 ST</v>
      </c>
      <c r="G63" t="s">
        <v>1752</v>
      </c>
      <c r="H63" t="str">
        <f>"Dck"</f>
        <v>Dck</v>
      </c>
      <c r="I63" t="str">
        <f>"deoxycytidine kinase"</f>
        <v>deoxycytidine kinase</v>
      </c>
      <c r="O63" s="3" t="e">
        <f>MATCH(A63,'actMatureT&amp;NK'!$A$6:$A$336,0)</f>
        <v>#N/A</v>
      </c>
      <c r="Q63" s="3" t="e">
        <f>MATCH(A63,'actImmT&amp;B'!$A$6:$A$879,0)</f>
        <v>#N/A</v>
      </c>
      <c r="S63" s="3">
        <f>MATCH(A63,'GC-Bcell vs actMatureT&amp;NK,MZ'!$A$6:$A$698,0)</f>
        <v>106</v>
      </c>
      <c r="U63" s="3" t="e">
        <f>MATCH(A63,'GC-Bcell vs actImmatureT&amp;B, MZ'!$A$6:$A$458,0)</f>
        <v>#N/A</v>
      </c>
    </row>
    <row r="64" spans="1:21">
      <c r="A64">
        <v>10503264</v>
      </c>
      <c r="B64">
        <v>8.4708291991881008</v>
      </c>
      <c r="C64">
        <v>2.6381914879691402</v>
      </c>
      <c r="E64" s="2">
        <v>10503264</v>
      </c>
      <c r="F64" t="str">
        <f t="shared" si="0"/>
        <v>Affy 1.0 ST</v>
      </c>
      <c r="G64" t="s">
        <v>2121</v>
      </c>
      <c r="H64" t="str">
        <f>"Ccne2"</f>
        <v>Ccne2</v>
      </c>
      <c r="I64" t="str">
        <f>"cyclin E2"</f>
        <v>cyclin E2</v>
      </c>
      <c r="O64" s="3">
        <f>MATCH(A64,'actMatureT&amp;NK'!$A$6:$A$336,0)</f>
        <v>83</v>
      </c>
      <c r="Q64" s="3">
        <f>MATCH(A64,'actImmT&amp;B'!$A$6:$A$879,0)</f>
        <v>148</v>
      </c>
      <c r="S64" s="3" t="e">
        <f>MATCH(A64,'GC-Bcell vs actMatureT&amp;NK,MZ'!$A$6:$A$698,0)</f>
        <v>#N/A</v>
      </c>
      <c r="U64" s="3" t="e">
        <f>MATCH(A64,'GC-Bcell vs actImmatureT&amp;B, MZ'!$A$6:$A$458,0)</f>
        <v>#N/A</v>
      </c>
    </row>
    <row r="65" spans="1:21">
      <c r="A65">
        <v>10594426</v>
      </c>
      <c r="B65">
        <v>8.4056790982014604</v>
      </c>
      <c r="C65">
        <v>2.7265829864683799</v>
      </c>
      <c r="E65" s="2">
        <v>10594426</v>
      </c>
      <c r="F65" t="str">
        <f t="shared" si="0"/>
        <v>Affy 1.0 ST</v>
      </c>
      <c r="G65" t="s">
        <v>2122</v>
      </c>
      <c r="H65" t="str">
        <f>"Zwilch"</f>
        <v>Zwilch</v>
      </c>
      <c r="I65" t="s">
        <v>2089</v>
      </c>
      <c r="O65" s="3">
        <f>MATCH(A65,'actMatureT&amp;NK'!$A$6:$A$336,0)</f>
        <v>121</v>
      </c>
      <c r="Q65" s="3">
        <f>MATCH(A65,'actImmT&amp;B'!$A$6:$A$879,0)</f>
        <v>143</v>
      </c>
      <c r="S65" s="3" t="e">
        <f>MATCH(A65,'GC-Bcell vs actMatureT&amp;NK,MZ'!$A$6:$A$698,0)</f>
        <v>#N/A</v>
      </c>
      <c r="U65" s="3" t="e">
        <f>MATCH(A65,'GC-Bcell vs actImmatureT&amp;B, MZ'!$A$6:$A$458,0)</f>
        <v>#N/A</v>
      </c>
    </row>
    <row r="66" spans="1:21">
      <c r="A66">
        <v>10587508</v>
      </c>
      <c r="B66">
        <v>8.3406924072994393</v>
      </c>
      <c r="C66">
        <v>2.6582151440647701</v>
      </c>
      <c r="E66" s="2">
        <v>10587508</v>
      </c>
      <c r="F66" t="str">
        <f t="shared" si="0"/>
        <v>Affy 1.0 ST</v>
      </c>
      <c r="G66" t="s">
        <v>2123</v>
      </c>
      <c r="H66" t="str">
        <f>"Ttk"</f>
        <v>Ttk</v>
      </c>
      <c r="I66" t="str">
        <f>"Ttk protein kinase"</f>
        <v>Ttk protein kinase</v>
      </c>
      <c r="O66" s="3">
        <f>MATCH(A66,'actMatureT&amp;NK'!$A$6:$A$336,0)</f>
        <v>103</v>
      </c>
      <c r="Q66" s="3">
        <f>MATCH(A66,'actImmT&amp;B'!$A$6:$A$879,0)</f>
        <v>61</v>
      </c>
      <c r="S66" s="3" t="e">
        <f>MATCH(A66,'GC-Bcell vs actMatureT&amp;NK,MZ'!$A$6:$A$698,0)</f>
        <v>#N/A</v>
      </c>
      <c r="U66" s="3" t="e">
        <f>MATCH(A66,'GC-Bcell vs actImmatureT&amp;B, MZ'!$A$6:$A$458,0)</f>
        <v>#N/A</v>
      </c>
    </row>
    <row r="67" spans="1:21">
      <c r="A67">
        <v>10601705</v>
      </c>
      <c r="B67">
        <v>8.2806640180990296</v>
      </c>
      <c r="C67">
        <v>2.86055903788063</v>
      </c>
      <c r="E67" s="2">
        <v>10601705</v>
      </c>
      <c r="F67" t="str">
        <f t="shared" si="0"/>
        <v>Affy 1.0 ST</v>
      </c>
      <c r="G67" t="s">
        <v>2124</v>
      </c>
      <c r="H67" t="str">
        <f>"Cenpi"</f>
        <v>Cenpi</v>
      </c>
      <c r="I67" t="str">
        <f>"centromere protein I"</f>
        <v>centromere protein I</v>
      </c>
      <c r="O67" s="3">
        <f>MATCH(A67,'actMatureT&amp;NK'!$A$6:$A$336,0)</f>
        <v>60</v>
      </c>
      <c r="Q67" s="3">
        <f>MATCH(A67,'actImmT&amp;B'!$A$6:$A$879,0)</f>
        <v>54</v>
      </c>
      <c r="S67" s="3" t="e">
        <f>MATCH(A67,'GC-Bcell vs actMatureT&amp;NK,MZ'!$A$6:$A$698,0)</f>
        <v>#N/A</v>
      </c>
      <c r="U67" s="3" t="e">
        <f>MATCH(A67,'GC-Bcell vs actImmatureT&amp;B, MZ'!$A$6:$A$458,0)</f>
        <v>#N/A</v>
      </c>
    </row>
    <row r="68" spans="1:21">
      <c r="A68">
        <v>10474902</v>
      </c>
      <c r="B68">
        <v>8.2597975769132503</v>
      </c>
      <c r="C68">
        <v>2.6654220869768599</v>
      </c>
      <c r="E68" s="2">
        <v>10474902</v>
      </c>
      <c r="F68" t="str">
        <f t="shared" si="0"/>
        <v>Affy 1.0 ST</v>
      </c>
      <c r="G68" t="s">
        <v>2125</v>
      </c>
      <c r="H68" t="str">
        <f>"Rad51"</f>
        <v>Rad51</v>
      </c>
      <c r="I68" t="str">
        <f>"RAD51 homolog (S. cerevisiae)"</f>
        <v>RAD51 homolog (S. cerevisiae)</v>
      </c>
      <c r="O68" s="3">
        <f>MATCH(A68,'actMatureT&amp;NK'!$A$6:$A$336,0)</f>
        <v>80</v>
      </c>
      <c r="Q68" s="3">
        <f>MATCH(A68,'actImmT&amp;B'!$A$6:$A$879,0)</f>
        <v>110</v>
      </c>
      <c r="S68" s="3" t="e">
        <f>MATCH(A68,'GC-Bcell vs actMatureT&amp;NK,MZ'!$A$6:$A$698,0)</f>
        <v>#N/A</v>
      </c>
      <c r="U68" s="3" t="e">
        <f>MATCH(A68,'GC-Bcell vs actImmatureT&amp;B, MZ'!$A$6:$A$458,0)</f>
        <v>#N/A</v>
      </c>
    </row>
    <row r="69" spans="1:21">
      <c r="A69">
        <v>10508151</v>
      </c>
      <c r="B69">
        <v>8.2502563206739001</v>
      </c>
      <c r="C69">
        <v>2.8213885092457902</v>
      </c>
      <c r="E69" s="2">
        <v>10508151</v>
      </c>
      <c r="F69" t="str">
        <f t="shared" si="0"/>
        <v>Affy 1.0 ST</v>
      </c>
      <c r="G69" t="s">
        <v>2126</v>
      </c>
      <c r="H69" t="str">
        <f>"Clspn"</f>
        <v>Clspn</v>
      </c>
      <c r="I69" t="str">
        <f>"claspin homolog (Xenopus laevis)"</f>
        <v>claspin homolog (Xenopus laevis)</v>
      </c>
      <c r="O69" s="3">
        <f>MATCH(A69,'actMatureT&amp;NK'!$A$6:$A$336,0)</f>
        <v>46</v>
      </c>
      <c r="Q69" s="3">
        <f>MATCH(A69,'actImmT&amp;B'!$A$6:$A$879,0)</f>
        <v>116</v>
      </c>
      <c r="S69" s="3" t="e">
        <f>MATCH(A69,'GC-Bcell vs actMatureT&amp;NK,MZ'!$A$6:$A$698,0)</f>
        <v>#N/A</v>
      </c>
      <c r="U69" s="3" t="e">
        <f>MATCH(A69,'GC-Bcell vs actImmatureT&amp;B, MZ'!$A$6:$A$458,0)</f>
        <v>#N/A</v>
      </c>
    </row>
    <row r="70" spans="1:21">
      <c r="A70">
        <v>10458195</v>
      </c>
      <c r="B70">
        <v>8.2356069472506004</v>
      </c>
      <c r="C70">
        <v>2.56618216636112</v>
      </c>
      <c r="E70" s="2">
        <v>10458195</v>
      </c>
      <c r="F70" t="str">
        <f t="shared" ref="F70:F78" si="1">"Affy 1.0 ST"</f>
        <v>Affy 1.0 ST</v>
      </c>
      <c r="G70" t="s">
        <v>2127</v>
      </c>
      <c r="H70" t="str">
        <f>"Cdc25c"</f>
        <v>Cdc25c</v>
      </c>
      <c r="I70" t="str">
        <f>"cell division cycle 25 homolog C (S. pombe)"</f>
        <v>cell division cycle 25 homolog C (S. pombe)</v>
      </c>
      <c r="O70" s="3" t="e">
        <f>MATCH(A70,'actMatureT&amp;NK'!$A$6:$A$336,0)</f>
        <v>#N/A</v>
      </c>
      <c r="Q70" s="3">
        <f>MATCH(A70,'actImmT&amp;B'!$A$6:$A$879,0)</f>
        <v>66</v>
      </c>
      <c r="S70" s="3" t="e">
        <f>MATCH(A70,'GC-Bcell vs actMatureT&amp;NK,MZ'!$A$6:$A$698,0)</f>
        <v>#N/A</v>
      </c>
      <c r="U70" s="3" t="e">
        <f>MATCH(A70,'GC-Bcell vs actImmatureT&amp;B, MZ'!$A$6:$A$458,0)</f>
        <v>#N/A</v>
      </c>
    </row>
    <row r="71" spans="1:21">
      <c r="A71">
        <v>10531752</v>
      </c>
      <c r="B71">
        <v>8.1081069547285995</v>
      </c>
      <c r="C71">
        <v>2.0397226343814201</v>
      </c>
      <c r="E71" s="2">
        <v>10531752</v>
      </c>
      <c r="F71" t="str">
        <f t="shared" si="1"/>
        <v>Affy 1.0 ST</v>
      </c>
      <c r="G71" t="s">
        <v>1747</v>
      </c>
      <c r="H71" t="str">
        <f>"Helq"</f>
        <v>Helq</v>
      </c>
      <c r="I71" t="s">
        <v>2039</v>
      </c>
      <c r="O71" s="3" t="e">
        <f>MATCH(A71,'actMatureT&amp;NK'!$A$6:$A$336,0)</f>
        <v>#N/A</v>
      </c>
      <c r="Q71" s="3">
        <f>MATCH(A71,'actImmT&amp;B'!$A$6:$A$879,0)</f>
        <v>761</v>
      </c>
      <c r="S71" s="3">
        <f>MATCH(A71,'GC-Bcell vs actMatureT&amp;NK,MZ'!$A$6:$A$698,0)</f>
        <v>104</v>
      </c>
      <c r="U71" s="3">
        <f>MATCH(A71,'GC-Bcell vs actImmatureT&amp;B, MZ'!$A$6:$A$458,0)</f>
        <v>114</v>
      </c>
    </row>
    <row r="72" spans="1:21">
      <c r="A72">
        <v>10438445</v>
      </c>
      <c r="B72">
        <v>7.9946516488453998</v>
      </c>
      <c r="C72">
        <v>14.0792635646263</v>
      </c>
      <c r="E72" s="2">
        <v>10438445</v>
      </c>
      <c r="F72" t="str">
        <f t="shared" si="1"/>
        <v>Affy 1.0 ST</v>
      </c>
      <c r="G72" t="s">
        <v>1214</v>
      </c>
      <c r="H72" t="str">
        <f>"Klhl6"</f>
        <v>Klhl6</v>
      </c>
      <c r="I72" t="str">
        <f>"kelch-like 6 (Drosophila)"</f>
        <v>kelch-like 6 (Drosophila)</v>
      </c>
      <c r="O72" s="3" t="e">
        <f>MATCH(A72,'actMatureT&amp;NK'!$A$6:$A$336,0)</f>
        <v>#N/A</v>
      </c>
      <c r="Q72" s="3" t="e">
        <f>MATCH(A72,'actImmT&amp;B'!$A$6:$A$879,0)</f>
        <v>#N/A</v>
      </c>
      <c r="S72" s="3">
        <f>MATCH(A72,'GC-Bcell vs actMatureT&amp;NK,MZ'!$A$6:$A$698,0)</f>
        <v>289</v>
      </c>
      <c r="U72" s="3" t="e">
        <f>MATCH(A72,'GC-Bcell vs actImmatureT&amp;B, MZ'!$A$6:$A$458,0)</f>
        <v>#N/A</v>
      </c>
    </row>
    <row r="73" spans="1:21">
      <c r="A73">
        <v>10474381</v>
      </c>
      <c r="B73">
        <v>7.9407079688606697</v>
      </c>
      <c r="C73">
        <v>2.4183287941393199</v>
      </c>
      <c r="E73" s="2">
        <v>10474381</v>
      </c>
      <c r="F73" t="str">
        <f t="shared" si="1"/>
        <v>Affy 1.0 ST</v>
      </c>
      <c r="G73" t="s">
        <v>2128</v>
      </c>
      <c r="H73" t="str">
        <f>"Kif18a"</f>
        <v>Kif18a</v>
      </c>
      <c r="I73" t="str">
        <f>"kinesin family member 18A"</f>
        <v>kinesin family member 18A</v>
      </c>
      <c r="O73" s="3" t="e">
        <f>MATCH(A73,'actMatureT&amp;NK'!$A$6:$A$336,0)</f>
        <v>#N/A</v>
      </c>
      <c r="Q73" s="3">
        <f>MATCH(A73,'actImmT&amp;B'!$A$6:$A$879,0)</f>
        <v>36</v>
      </c>
      <c r="S73" s="3" t="e">
        <f>MATCH(A73,'GC-Bcell vs actMatureT&amp;NK,MZ'!$A$6:$A$698,0)</f>
        <v>#N/A</v>
      </c>
      <c r="U73" s="3" t="e">
        <f>MATCH(A73,'GC-Bcell vs actImmatureT&amp;B, MZ'!$A$6:$A$458,0)</f>
        <v>#N/A</v>
      </c>
    </row>
    <row r="74" spans="1:21">
      <c r="A74">
        <v>10427816</v>
      </c>
      <c r="B74">
        <v>7.8418739142356397</v>
      </c>
      <c r="C74">
        <v>2.1459798069584499</v>
      </c>
      <c r="E74" s="2">
        <v>10427816</v>
      </c>
      <c r="F74" t="str">
        <f t="shared" si="1"/>
        <v>Affy 1.0 ST</v>
      </c>
      <c r="G74" t="s">
        <v>1821</v>
      </c>
      <c r="H74" t="str">
        <f>"Pdzd2"</f>
        <v>Pdzd2</v>
      </c>
      <c r="I74" t="str">
        <f>"PDZ domain containing 2"</f>
        <v>PDZ domain containing 2</v>
      </c>
      <c r="O74" s="3" t="e">
        <f>MATCH(A74,'actMatureT&amp;NK'!$A$6:$A$336,0)</f>
        <v>#N/A</v>
      </c>
      <c r="Q74" s="3" t="e">
        <f>MATCH(A74,'actImmT&amp;B'!$A$6:$A$879,0)</f>
        <v>#N/A</v>
      </c>
      <c r="S74" s="3">
        <f>MATCH(A74,'GC-Bcell vs actMatureT&amp;NK,MZ'!$A$6:$A$698,0)</f>
        <v>68</v>
      </c>
      <c r="U74" s="3">
        <f>MATCH(A74,'GC-Bcell vs actImmatureT&amp;B, MZ'!$A$6:$A$458,0)</f>
        <v>41</v>
      </c>
    </row>
    <row r="75" spans="1:21">
      <c r="A75">
        <v>10584710</v>
      </c>
      <c r="B75">
        <v>7.8409993573086902</v>
      </c>
      <c r="C75">
        <v>3.3397795520483702</v>
      </c>
      <c r="E75" s="2">
        <v>10584710</v>
      </c>
      <c r="F75" t="str">
        <f t="shared" si="1"/>
        <v>Affy 1.0 ST</v>
      </c>
      <c r="G75" t="s">
        <v>1462</v>
      </c>
      <c r="H75" t="str">
        <f>"H2afx"</f>
        <v>H2afx</v>
      </c>
      <c r="I75" t="s">
        <v>2040</v>
      </c>
      <c r="O75" s="3" t="e">
        <f>MATCH(A75,'actMatureT&amp;NK'!$A$6:$A$336,0)</f>
        <v>#N/A</v>
      </c>
      <c r="Q75" s="3">
        <f>MATCH(A75,'actImmT&amp;B'!$A$6:$A$879,0)</f>
        <v>127</v>
      </c>
      <c r="S75" s="3">
        <f>MATCH(A75,'GC-Bcell vs actMatureT&amp;NK,MZ'!$A$6:$A$698,0)</f>
        <v>128</v>
      </c>
      <c r="U75" s="3" t="e">
        <f>MATCH(A75,'GC-Bcell vs actImmatureT&amp;B, MZ'!$A$6:$A$458,0)</f>
        <v>#N/A</v>
      </c>
    </row>
    <row r="76" spans="1:21">
      <c r="A76">
        <v>10479833</v>
      </c>
      <c r="B76">
        <v>7.8077019583073204</v>
      </c>
      <c r="C76">
        <v>2.2580605908317</v>
      </c>
      <c r="E76" s="2">
        <v>10479833</v>
      </c>
      <c r="F76" t="str">
        <f t="shared" si="1"/>
        <v>Affy 1.0 ST</v>
      </c>
      <c r="G76" t="s">
        <v>1804</v>
      </c>
      <c r="H76" t="str">
        <f>"Optn"</f>
        <v>Optn</v>
      </c>
      <c r="I76" t="str">
        <f>"optineurin"</f>
        <v>optineurin</v>
      </c>
      <c r="O76" s="3" t="e">
        <f>MATCH(A76,'actMatureT&amp;NK'!$A$6:$A$336,0)</f>
        <v>#N/A</v>
      </c>
      <c r="Q76" s="3" t="e">
        <f>MATCH(A76,'actImmT&amp;B'!$A$6:$A$879,0)</f>
        <v>#N/A</v>
      </c>
      <c r="S76" s="3">
        <f>MATCH(A76,'GC-Bcell vs actMatureT&amp;NK,MZ'!$A$6:$A$698,0)</f>
        <v>63</v>
      </c>
      <c r="U76" s="3">
        <f>MATCH(A76,'GC-Bcell vs actImmatureT&amp;B, MZ'!$A$6:$A$458,0)</f>
        <v>49</v>
      </c>
    </row>
    <row r="77" spans="1:21">
      <c r="A77">
        <v>10391461</v>
      </c>
      <c r="B77">
        <v>7.5886744462460101</v>
      </c>
      <c r="C77">
        <v>3.1037631907560499</v>
      </c>
      <c r="E77" s="2">
        <v>10391461</v>
      </c>
      <c r="F77" t="str">
        <f t="shared" si="1"/>
        <v>Affy 1.0 ST</v>
      </c>
      <c r="G77" t="s">
        <v>2129</v>
      </c>
      <c r="H77" t="str">
        <f>"Brca1"</f>
        <v>Brca1</v>
      </c>
      <c r="I77" t="str">
        <f>"breast cancer 1"</f>
        <v>breast cancer 1</v>
      </c>
      <c r="O77" s="3">
        <f>MATCH(A77,'actMatureT&amp;NK'!$A$6:$A$336,0)</f>
        <v>130</v>
      </c>
      <c r="Q77" s="3">
        <f>MATCH(A77,'actImmT&amp;B'!$A$6:$A$879,0)</f>
        <v>132</v>
      </c>
      <c r="S77" s="3" t="e">
        <f>MATCH(A77,'GC-Bcell vs actMatureT&amp;NK,MZ'!$A$6:$A$698,0)</f>
        <v>#N/A</v>
      </c>
      <c r="U77" s="3" t="e">
        <f>MATCH(A77,'GC-Bcell vs actImmatureT&amp;B, MZ'!$A$6:$A$458,0)</f>
        <v>#N/A</v>
      </c>
    </row>
    <row r="78" spans="1:21">
      <c r="A78">
        <v>10515257</v>
      </c>
      <c r="B78">
        <v>7.4523627406124104</v>
      </c>
      <c r="C78">
        <v>2.62678484247333</v>
      </c>
      <c r="E78" s="2">
        <v>10515257</v>
      </c>
      <c r="F78" t="str">
        <f t="shared" si="1"/>
        <v>Affy 1.0 ST</v>
      </c>
      <c r="G78" t="s">
        <v>2130</v>
      </c>
      <c r="H78" t="str">
        <f>"Rad54l"</f>
        <v>Rad54l</v>
      </c>
      <c r="I78" t="str">
        <f>"RAD54 like (S. cerevisiae)"</f>
        <v>RAD54 like (S. cerevisiae)</v>
      </c>
      <c r="O78" s="3">
        <f>MATCH(A78,'actMatureT&amp;NK'!$A$6:$A$336,0)</f>
        <v>71</v>
      </c>
      <c r="Q78" s="3">
        <f>MATCH(A78,'actImmT&amp;B'!$A$6:$A$879,0)</f>
        <v>133</v>
      </c>
      <c r="S78" s="3" t="e">
        <f>MATCH(A78,'GC-Bcell vs actMatureT&amp;NK,MZ'!$A$6:$A$698,0)</f>
        <v>#N/A</v>
      </c>
      <c r="U78" s="3" t="e">
        <f>MATCH(A78,'GC-Bcell vs actImmatureT&amp;B, MZ'!$A$6:$A$458,0)</f>
        <v>#N/A</v>
      </c>
    </row>
    <row r="79" spans="1:21">
      <c r="A79">
        <v>10608656</v>
      </c>
      <c r="B79">
        <v>7.4127565857725797</v>
      </c>
      <c r="C79">
        <v>2.9347204995399898</v>
      </c>
      <c r="E79" s="2">
        <v>10608656</v>
      </c>
      <c r="F79" t="str">
        <f>""</f>
        <v/>
      </c>
      <c r="G79" t="s">
        <v>2038</v>
      </c>
      <c r="O79" s="3" t="e">
        <f>MATCH(A79,'actMatureT&amp;NK'!$A$6:$A$336,0)</f>
        <v>#N/A</v>
      </c>
      <c r="Q79" s="3" t="e">
        <f>MATCH(A79,'actImmT&amp;B'!$A$6:$A$879,0)</f>
        <v>#N/A</v>
      </c>
      <c r="S79" s="3" t="e">
        <f>MATCH(A79,'GC-Bcell vs actMatureT&amp;NK,MZ'!$A$6:$A$698,0)</f>
        <v>#N/A</v>
      </c>
      <c r="U79" s="3" t="e">
        <f>MATCH(A79,'GC-Bcell vs actImmatureT&amp;B, MZ'!$A$6:$A$458,0)</f>
        <v>#N/A</v>
      </c>
    </row>
    <row r="80" spans="1:21">
      <c r="A80">
        <v>10396030</v>
      </c>
      <c r="B80">
        <v>7.3615297517156204</v>
      </c>
      <c r="C80">
        <v>2.5465119751066498</v>
      </c>
      <c r="E80" s="2">
        <v>10396030</v>
      </c>
      <c r="F80" t="str">
        <f t="shared" ref="F80:F113" si="2">"Affy 1.0 ST"</f>
        <v>Affy 1.0 ST</v>
      </c>
      <c r="G80" t="s">
        <v>1271</v>
      </c>
      <c r="H80" t="str">
        <f>"Fancm"</f>
        <v>Fancm</v>
      </c>
      <c r="I80" t="s">
        <v>2155</v>
      </c>
      <c r="O80" s="3" t="e">
        <f>MATCH(A80,'actMatureT&amp;NK'!$A$6:$A$336,0)</f>
        <v>#N/A</v>
      </c>
      <c r="Q80" s="3">
        <f>MATCH(A80,'actImmT&amp;B'!$A$6:$A$879,0)</f>
        <v>341</v>
      </c>
      <c r="S80" s="3">
        <f>MATCH(A80,'GC-Bcell vs actMatureT&amp;NK,MZ'!$A$6:$A$698,0)</f>
        <v>245</v>
      </c>
      <c r="U80" s="3">
        <f>MATCH(A80,'GC-Bcell vs actImmatureT&amp;B, MZ'!$A$6:$A$458,0)</f>
        <v>263</v>
      </c>
    </row>
    <row r="81" spans="1:21">
      <c r="A81">
        <v>10400748</v>
      </c>
      <c r="B81">
        <v>7.3514849789348098</v>
      </c>
      <c r="C81">
        <v>1.95646710201639</v>
      </c>
      <c r="E81" s="2">
        <v>10400748</v>
      </c>
      <c r="F81" t="str">
        <f t="shared" si="2"/>
        <v>Affy 1.0 ST</v>
      </c>
      <c r="G81" t="s">
        <v>1510</v>
      </c>
      <c r="H81" t="str">
        <f>"Cdkl1"</f>
        <v>Cdkl1</v>
      </c>
      <c r="I81" t="str">
        <f>"cyclin-dependent kinase-like 1 (CDC2-related kinase)"</f>
        <v>cyclin-dependent kinase-like 1 (CDC2-related kinase)</v>
      </c>
      <c r="O81" s="3" t="e">
        <f>MATCH(A81,'actMatureT&amp;NK'!$A$6:$A$336,0)</f>
        <v>#N/A</v>
      </c>
      <c r="Q81" s="3" t="e">
        <f>MATCH(A81,'actImmT&amp;B'!$A$6:$A$879,0)</f>
        <v>#N/A</v>
      </c>
      <c r="S81" s="3">
        <f>MATCH(A81,'GC-Bcell vs actMatureT&amp;NK,MZ'!$A$6:$A$698,0)</f>
        <v>79</v>
      </c>
      <c r="U81" s="3">
        <f>MATCH(A81,'GC-Bcell vs actImmatureT&amp;B, MZ'!$A$6:$A$458,0)</f>
        <v>71</v>
      </c>
    </row>
    <row r="82" spans="1:21">
      <c r="A82">
        <v>10353420</v>
      </c>
      <c r="B82">
        <v>7.17723251750391</v>
      </c>
      <c r="C82">
        <v>3.4189456257310602</v>
      </c>
      <c r="E82" s="2">
        <v>10353420</v>
      </c>
      <c r="F82" t="str">
        <f t="shared" si="2"/>
        <v>Affy 1.0 ST</v>
      </c>
      <c r="G82" t="s">
        <v>2131</v>
      </c>
      <c r="H82" t="str">
        <f>"Mcm3"</f>
        <v>Mcm3</v>
      </c>
      <c r="I82" t="str">
        <f>"minichromosome maintenance deficient 3 (S. cerevisiae)"</f>
        <v>minichromosome maintenance deficient 3 (S. cerevisiae)</v>
      </c>
      <c r="O82" s="3">
        <f>MATCH(A82,'actMatureT&amp;NK'!$A$6:$A$336,0)</f>
        <v>148</v>
      </c>
      <c r="Q82" s="3" t="e">
        <f>MATCH(A82,'actImmT&amp;B'!$A$6:$A$879,0)</f>
        <v>#N/A</v>
      </c>
      <c r="S82" s="3" t="e">
        <f>MATCH(A82,'GC-Bcell vs actMatureT&amp;NK,MZ'!$A$6:$A$698,0)</f>
        <v>#N/A</v>
      </c>
      <c r="U82" s="3" t="e">
        <f>MATCH(A82,'GC-Bcell vs actImmatureT&amp;B, MZ'!$A$6:$A$458,0)</f>
        <v>#N/A</v>
      </c>
    </row>
    <row r="83" spans="1:21">
      <c r="A83">
        <v>10397966</v>
      </c>
      <c r="B83">
        <v>7.1080524351449998</v>
      </c>
      <c r="C83">
        <v>1.5855530415611601</v>
      </c>
      <c r="E83" s="2">
        <v>10397966</v>
      </c>
      <c r="F83" t="str">
        <f t="shared" si="2"/>
        <v>Affy 1.0 ST</v>
      </c>
      <c r="G83" t="s">
        <v>1702</v>
      </c>
      <c r="H83" t="str">
        <f>"Otub2"</f>
        <v>Otub2</v>
      </c>
      <c r="I83" t="s">
        <v>2156</v>
      </c>
      <c r="O83" s="3" t="e">
        <f>MATCH(A83,'actMatureT&amp;NK'!$A$6:$A$336,0)</f>
        <v>#N/A</v>
      </c>
      <c r="Q83" s="3" t="e">
        <f>MATCH(A83,'actImmT&amp;B'!$A$6:$A$879,0)</f>
        <v>#N/A</v>
      </c>
      <c r="S83" s="3">
        <f>MATCH(A83,'GC-Bcell vs actMatureT&amp;NK,MZ'!$A$6:$A$698,0)</f>
        <v>87</v>
      </c>
      <c r="U83" s="3" t="e">
        <f>MATCH(A83,'GC-Bcell vs actImmatureT&amp;B, MZ'!$A$6:$A$458,0)</f>
        <v>#N/A</v>
      </c>
    </row>
    <row r="84" spans="1:21">
      <c r="A84">
        <v>10410560</v>
      </c>
      <c r="B84">
        <v>7.10759452245492</v>
      </c>
      <c r="C84">
        <v>2.81949805287551</v>
      </c>
      <c r="E84" s="2">
        <v>10410560</v>
      </c>
      <c r="F84" t="str">
        <f t="shared" si="2"/>
        <v>Affy 1.0 ST</v>
      </c>
      <c r="G84" t="s">
        <v>2132</v>
      </c>
      <c r="H84" t="str">
        <f>"Trip13"</f>
        <v>Trip13</v>
      </c>
      <c r="I84" t="str">
        <f>"thyroid hormone receptor interactor 13"</f>
        <v>thyroid hormone receptor interactor 13</v>
      </c>
      <c r="O84" s="3">
        <f>MATCH(A84,'actMatureT&amp;NK'!$A$6:$A$336,0)</f>
        <v>73</v>
      </c>
      <c r="Q84" s="3">
        <f>MATCH(A84,'actImmT&amp;B'!$A$6:$A$879,0)</f>
        <v>111</v>
      </c>
      <c r="S84" s="3" t="e">
        <f>MATCH(A84,'GC-Bcell vs actMatureT&amp;NK,MZ'!$A$6:$A$698,0)</f>
        <v>#N/A</v>
      </c>
      <c r="U84" s="3" t="e">
        <f>MATCH(A84,'GC-Bcell vs actImmatureT&amp;B, MZ'!$A$6:$A$458,0)</f>
        <v>#N/A</v>
      </c>
    </row>
    <row r="85" spans="1:21">
      <c r="A85">
        <v>10596222</v>
      </c>
      <c r="B85">
        <v>7.1063051287642196</v>
      </c>
      <c r="C85">
        <v>0.89916584643646902</v>
      </c>
      <c r="E85" s="2">
        <v>10596222</v>
      </c>
      <c r="F85" t="str">
        <f t="shared" si="2"/>
        <v>Affy 1.0 ST</v>
      </c>
      <c r="G85" t="s">
        <v>1826</v>
      </c>
      <c r="H85" t="str">
        <f>"Ccrl1"</f>
        <v>Ccrl1</v>
      </c>
      <c r="I85" t="str">
        <f>"chemokine (C-C motif) receptor-like 1"</f>
        <v>chemokine (C-C motif) receptor-like 1</v>
      </c>
      <c r="O85" s="3" t="e">
        <f>MATCH(A85,'actMatureT&amp;NK'!$A$6:$A$336,0)</f>
        <v>#N/A</v>
      </c>
      <c r="Q85" s="3" t="e">
        <f>MATCH(A85,'actImmT&amp;B'!$A$6:$A$879,0)</f>
        <v>#N/A</v>
      </c>
      <c r="S85" s="3">
        <f>MATCH(A85,'GC-Bcell vs actMatureT&amp;NK,MZ'!$A$6:$A$698,0)</f>
        <v>70</v>
      </c>
      <c r="U85" s="3">
        <f>MATCH(A85,'GC-Bcell vs actImmatureT&amp;B, MZ'!$A$6:$A$458,0)</f>
        <v>56</v>
      </c>
    </row>
    <row r="86" spans="1:21">
      <c r="A86">
        <v>10382998</v>
      </c>
      <c r="B86">
        <v>7.0105583986213897</v>
      </c>
      <c r="C86">
        <v>2.6475673869508598</v>
      </c>
      <c r="E86" s="2">
        <v>10382998</v>
      </c>
      <c r="F86" t="str">
        <f t="shared" si="2"/>
        <v>Affy 1.0 ST</v>
      </c>
      <c r="G86" t="s">
        <v>2133</v>
      </c>
      <c r="H86" t="str">
        <f>"Birc5"</f>
        <v>Birc5</v>
      </c>
      <c r="I86" t="str">
        <f>"baculoviral IAP repeat-containing 5"</f>
        <v>baculoviral IAP repeat-containing 5</v>
      </c>
      <c r="O86" s="3">
        <f>MATCH(A86,'actMatureT&amp;NK'!$A$6:$A$336,0)</f>
        <v>62</v>
      </c>
      <c r="Q86" s="3">
        <f>MATCH(A86,'actImmT&amp;B'!$A$6:$A$879,0)</f>
        <v>90</v>
      </c>
      <c r="S86" s="3" t="e">
        <f>MATCH(A86,'GC-Bcell vs actMatureT&amp;NK,MZ'!$A$6:$A$698,0)</f>
        <v>#N/A</v>
      </c>
      <c r="U86" s="3" t="e">
        <f>MATCH(A86,'GC-Bcell vs actImmatureT&amp;B, MZ'!$A$6:$A$458,0)</f>
        <v>#N/A</v>
      </c>
    </row>
    <row r="87" spans="1:21">
      <c r="A87">
        <v>10414315</v>
      </c>
      <c r="B87">
        <v>6.9820248300485002</v>
      </c>
      <c r="C87">
        <v>2.0150820161755498</v>
      </c>
      <c r="E87" s="2">
        <v>10414315</v>
      </c>
      <c r="F87" t="str">
        <f t="shared" si="2"/>
        <v>Affy 1.0 ST</v>
      </c>
      <c r="G87" t="s">
        <v>1749</v>
      </c>
      <c r="H87" t="str">
        <f>"Cdkn3"</f>
        <v>Cdkn3</v>
      </c>
      <c r="I87" t="str">
        <f>"cyclin-dependent kinase inhibitor 3"</f>
        <v>cyclin-dependent kinase inhibitor 3</v>
      </c>
      <c r="O87" s="3" t="e">
        <f>MATCH(A87,'actMatureT&amp;NK'!$A$6:$A$336,0)</f>
        <v>#N/A</v>
      </c>
      <c r="Q87" s="3">
        <f>MATCH(A87,'actImmT&amp;B'!$A$6:$A$879,0)</f>
        <v>191</v>
      </c>
      <c r="S87" s="3">
        <f>MATCH(A87,'GC-Bcell vs actMatureT&amp;NK,MZ'!$A$6:$A$698,0)</f>
        <v>105</v>
      </c>
      <c r="U87" s="3" t="e">
        <f>MATCH(A87,'GC-Bcell vs actImmatureT&amp;B, MZ'!$A$6:$A$458,0)</f>
        <v>#N/A</v>
      </c>
    </row>
    <row r="88" spans="1:21">
      <c r="A88">
        <v>10546163</v>
      </c>
      <c r="B88">
        <v>6.9430615701180196</v>
      </c>
      <c r="C88">
        <v>3.7772848303697102</v>
      </c>
      <c r="E88" s="2">
        <v>10546163</v>
      </c>
      <c r="F88" t="str">
        <f t="shared" si="2"/>
        <v>Affy 1.0 ST</v>
      </c>
      <c r="G88" t="s">
        <v>2134</v>
      </c>
      <c r="H88" t="str">
        <f>"Mcm2"</f>
        <v>Mcm2</v>
      </c>
      <c r="I88" t="str">
        <f>"minichromosome maintenance deficient 2 mitotin (S. cerevisiae)"</f>
        <v>minichromosome maintenance deficient 2 mitotin (S. cerevisiae)</v>
      </c>
      <c r="O88" s="3">
        <f>MATCH(A88,'actMatureT&amp;NK'!$A$6:$A$336,0)</f>
        <v>174</v>
      </c>
      <c r="Q88" s="3" t="e">
        <f>MATCH(A88,'actImmT&amp;B'!$A$6:$A$879,0)</f>
        <v>#N/A</v>
      </c>
      <c r="S88" s="3" t="e">
        <f>MATCH(A88,'GC-Bcell vs actMatureT&amp;NK,MZ'!$A$6:$A$698,0)</f>
        <v>#N/A</v>
      </c>
      <c r="U88" s="3" t="e">
        <f>MATCH(A88,'GC-Bcell vs actImmatureT&amp;B, MZ'!$A$6:$A$458,0)</f>
        <v>#N/A</v>
      </c>
    </row>
    <row r="89" spans="1:21">
      <c r="A89">
        <v>10479811</v>
      </c>
      <c r="B89">
        <v>6.9342088087838203</v>
      </c>
      <c r="C89">
        <v>2.3218395484233798</v>
      </c>
      <c r="E89" s="2">
        <v>10479811</v>
      </c>
      <c r="F89" t="str">
        <f t="shared" si="2"/>
        <v>Affy 1.0 ST</v>
      </c>
      <c r="G89" t="s">
        <v>2135</v>
      </c>
      <c r="H89" t="str">
        <f>"Mcm10"</f>
        <v>Mcm10</v>
      </c>
      <c r="I89" t="str">
        <f>"minichromosome maintenance deficient 10 (S. cerevisiae)"</f>
        <v>minichromosome maintenance deficient 10 (S. cerevisiae)</v>
      </c>
      <c r="O89" s="3">
        <f>MATCH(A89,'actMatureT&amp;NK'!$A$6:$A$336,0)</f>
        <v>68</v>
      </c>
      <c r="Q89" s="3">
        <f>MATCH(A89,'actImmT&amp;B'!$A$6:$A$879,0)</f>
        <v>142</v>
      </c>
      <c r="S89" s="3" t="e">
        <f>MATCH(A89,'GC-Bcell vs actMatureT&amp;NK,MZ'!$A$6:$A$698,0)</f>
        <v>#N/A</v>
      </c>
      <c r="U89" s="3" t="e">
        <f>MATCH(A89,'GC-Bcell vs actImmatureT&amp;B, MZ'!$A$6:$A$458,0)</f>
        <v>#N/A</v>
      </c>
    </row>
    <row r="90" spans="1:21">
      <c r="A90">
        <v>10572906</v>
      </c>
      <c r="B90">
        <v>6.8605356181474004</v>
      </c>
      <c r="C90">
        <v>2.6188182258810202</v>
      </c>
      <c r="E90" s="2">
        <v>10572906</v>
      </c>
      <c r="F90" t="str">
        <f t="shared" si="2"/>
        <v>Affy 1.0 ST</v>
      </c>
      <c r="G90" t="s">
        <v>2136</v>
      </c>
      <c r="H90" t="str">
        <f>"Mcm5"</f>
        <v>Mcm5</v>
      </c>
      <c r="I90" t="s">
        <v>2157</v>
      </c>
      <c r="O90" s="3">
        <f>MATCH(A90,'actMatureT&amp;NK'!$A$6:$A$336,0)</f>
        <v>142</v>
      </c>
      <c r="Q90" s="3">
        <f>MATCH(A90,'actImmT&amp;B'!$A$6:$A$879,0)</f>
        <v>167</v>
      </c>
      <c r="S90" s="3" t="e">
        <f>MATCH(A90,'GC-Bcell vs actMatureT&amp;NK,MZ'!$A$6:$A$698,0)</f>
        <v>#N/A</v>
      </c>
      <c r="U90" s="3" t="e">
        <f>MATCH(A90,'GC-Bcell vs actImmatureT&amp;B, MZ'!$A$6:$A$458,0)</f>
        <v>#N/A</v>
      </c>
    </row>
    <row r="91" spans="1:21">
      <c r="A91">
        <v>10433088</v>
      </c>
      <c r="B91">
        <v>6.7701484465744404</v>
      </c>
      <c r="C91">
        <v>2.63150017613457</v>
      </c>
      <c r="E91" s="2">
        <v>10433088</v>
      </c>
      <c r="F91" t="str">
        <f t="shared" si="2"/>
        <v>Affy 1.0 ST</v>
      </c>
      <c r="G91" t="s">
        <v>2137</v>
      </c>
      <c r="H91" t="str">
        <f>"Cbx5"</f>
        <v>Cbx5</v>
      </c>
      <c r="I91" t="str">
        <f>"chromobox homolog 5 (Drosophila HP1a)"</f>
        <v>chromobox homolog 5 (Drosophila HP1a)</v>
      </c>
      <c r="O91" s="3" t="e">
        <f>MATCH(A91,'actMatureT&amp;NK'!$A$6:$A$336,0)</f>
        <v>#N/A</v>
      </c>
      <c r="Q91" s="3">
        <f>MATCH(A91,'actImmT&amp;B'!$A$6:$A$879,0)</f>
        <v>256</v>
      </c>
      <c r="S91" s="3" t="e">
        <f>MATCH(A91,'GC-Bcell vs actMatureT&amp;NK,MZ'!$A$6:$A$698,0)</f>
        <v>#N/A</v>
      </c>
      <c r="U91" s="3" t="e">
        <f>MATCH(A91,'GC-Bcell vs actImmatureT&amp;B, MZ'!$A$6:$A$458,0)</f>
        <v>#N/A</v>
      </c>
    </row>
    <row r="92" spans="1:21">
      <c r="A92">
        <v>10476252</v>
      </c>
      <c r="B92">
        <v>6.7327106884093002</v>
      </c>
      <c r="C92">
        <v>3.6727250912352898</v>
      </c>
      <c r="E92" s="2">
        <v>10476252</v>
      </c>
      <c r="F92" t="str">
        <f t="shared" si="2"/>
        <v>Affy 1.0 ST</v>
      </c>
      <c r="G92" t="s">
        <v>2138</v>
      </c>
      <c r="H92" t="str">
        <f>"Cdc25b"</f>
        <v>Cdc25b</v>
      </c>
      <c r="I92" t="str">
        <f>"cell division cycle 25 homolog B (S. pombe)"</f>
        <v>cell division cycle 25 homolog B (S. pombe)</v>
      </c>
      <c r="O92" s="3" t="e">
        <f>MATCH(A92,'actMatureT&amp;NK'!$A$6:$A$336,0)</f>
        <v>#N/A</v>
      </c>
      <c r="Q92" s="3">
        <f>MATCH(A92,'actImmT&amp;B'!$A$6:$A$879,0)</f>
        <v>160</v>
      </c>
      <c r="S92" s="3" t="e">
        <f>MATCH(A92,'GC-Bcell vs actMatureT&amp;NK,MZ'!$A$6:$A$698,0)</f>
        <v>#N/A</v>
      </c>
      <c r="U92" s="3" t="e">
        <f>MATCH(A92,'GC-Bcell vs actImmatureT&amp;B, MZ'!$A$6:$A$458,0)</f>
        <v>#N/A</v>
      </c>
    </row>
    <row r="93" spans="1:21">
      <c r="A93">
        <v>10419296</v>
      </c>
      <c r="B93">
        <v>6.72176970972503</v>
      </c>
      <c r="C93">
        <v>2.2240940754938499</v>
      </c>
      <c r="E93" s="2">
        <v>10419296</v>
      </c>
      <c r="F93" t="str">
        <f t="shared" si="2"/>
        <v>Affy 1.0 ST</v>
      </c>
      <c r="G93" t="s">
        <v>2139</v>
      </c>
      <c r="H93" t="str">
        <f>"Wdhd1"</f>
        <v>Wdhd1</v>
      </c>
      <c r="I93" t="str">
        <f>"WD repeat and HMG-box DNA binding protein 1"</f>
        <v>WD repeat and HMG-box DNA binding protein 1</v>
      </c>
      <c r="O93" s="3" t="e">
        <f>MATCH(A93,'actMatureT&amp;NK'!$A$6:$A$336,0)</f>
        <v>#N/A</v>
      </c>
      <c r="Q93" s="3" t="e">
        <f>MATCH(A93,'actImmT&amp;B'!$A$6:$A$879,0)</f>
        <v>#N/A</v>
      </c>
      <c r="S93" s="3" t="e">
        <f>MATCH(A93,'GC-Bcell vs actMatureT&amp;NK,MZ'!$A$6:$A$698,0)</f>
        <v>#N/A</v>
      </c>
      <c r="U93" s="3" t="e">
        <f>MATCH(A93,'GC-Bcell vs actImmatureT&amp;B, MZ'!$A$6:$A$458,0)</f>
        <v>#N/A</v>
      </c>
    </row>
    <row r="94" spans="1:21">
      <c r="A94">
        <v>10455813</v>
      </c>
      <c r="B94">
        <v>6.6594881538783799</v>
      </c>
      <c r="C94">
        <v>3.7142548247814999</v>
      </c>
      <c r="E94" s="2">
        <v>10455813</v>
      </c>
      <c r="F94" t="str">
        <f t="shared" si="2"/>
        <v>Affy 1.0 ST</v>
      </c>
      <c r="G94" t="s">
        <v>2140</v>
      </c>
      <c r="H94" t="str">
        <f>"Lmnb1"</f>
        <v>Lmnb1</v>
      </c>
      <c r="I94" t="str">
        <f>"lamin B1"</f>
        <v>lamin B1</v>
      </c>
      <c r="O94" s="3">
        <f>MATCH(A94,'actMatureT&amp;NK'!$A$6:$A$336,0)</f>
        <v>93</v>
      </c>
      <c r="Q94" s="3">
        <f>MATCH(A94,'actImmT&amp;B'!$A$6:$A$879,0)</f>
        <v>414</v>
      </c>
      <c r="S94" s="3" t="e">
        <f>MATCH(A94,'GC-Bcell vs actMatureT&amp;NK,MZ'!$A$6:$A$698,0)</f>
        <v>#N/A</v>
      </c>
      <c r="U94" s="3" t="e">
        <f>MATCH(A94,'GC-Bcell vs actImmatureT&amp;B, MZ'!$A$6:$A$458,0)</f>
        <v>#N/A</v>
      </c>
    </row>
    <row r="95" spans="1:21">
      <c r="A95">
        <v>10355329</v>
      </c>
      <c r="B95">
        <v>6.6046726911311699</v>
      </c>
      <c r="C95">
        <v>1.8903538923894301</v>
      </c>
      <c r="E95" s="2">
        <v>10355329</v>
      </c>
      <c r="F95" t="str">
        <f t="shared" si="2"/>
        <v>Affy 1.0 ST</v>
      </c>
      <c r="G95" t="s">
        <v>2141</v>
      </c>
      <c r="H95" t="str">
        <f>"Bard1"</f>
        <v>Bard1</v>
      </c>
      <c r="I95" t="str">
        <f>"BRCA1 associated RING domain 1"</f>
        <v>BRCA1 associated RING domain 1</v>
      </c>
      <c r="O95" s="3">
        <f>MATCH(A95,'actMatureT&amp;NK'!$A$6:$A$336,0)</f>
        <v>145</v>
      </c>
      <c r="Q95" s="3">
        <f>MATCH(A95,'actImmT&amp;B'!$A$6:$A$879,0)</f>
        <v>190</v>
      </c>
      <c r="S95" s="3" t="e">
        <f>MATCH(A95,'GC-Bcell vs actMatureT&amp;NK,MZ'!$A$6:$A$698,0)</f>
        <v>#N/A</v>
      </c>
      <c r="U95" s="3" t="e">
        <f>MATCH(A95,'GC-Bcell vs actImmatureT&amp;B, MZ'!$A$6:$A$458,0)</f>
        <v>#N/A</v>
      </c>
    </row>
    <row r="96" spans="1:21">
      <c r="A96">
        <v>10353272</v>
      </c>
      <c r="B96">
        <v>6.5507755468144504</v>
      </c>
      <c r="C96">
        <v>1.7692118742845</v>
      </c>
      <c r="E96" s="2">
        <v>10353272</v>
      </c>
      <c r="F96" t="str">
        <f t="shared" si="2"/>
        <v>Affy 1.0 ST</v>
      </c>
      <c r="G96" t="s">
        <v>1810</v>
      </c>
      <c r="H96" t="str">
        <f>"Stau2"</f>
        <v>Stau2</v>
      </c>
      <c r="I96" t="str">
        <f>"staufen (RNA binding protein) homolog 2 (Drosophila)"</f>
        <v>staufen (RNA binding protein) homolog 2 (Drosophila)</v>
      </c>
      <c r="O96" s="3" t="e">
        <f>MATCH(A96,'actMatureT&amp;NK'!$A$6:$A$336,0)</f>
        <v>#N/A</v>
      </c>
      <c r="Q96" s="3" t="e">
        <f>MATCH(A96,'actImmT&amp;B'!$A$6:$A$879,0)</f>
        <v>#N/A</v>
      </c>
      <c r="S96" s="3">
        <f>MATCH(A96,'GC-Bcell vs actMatureT&amp;NK,MZ'!$A$6:$A$698,0)</f>
        <v>65</v>
      </c>
      <c r="U96" s="3">
        <f>MATCH(A96,'GC-Bcell vs actImmatureT&amp;B, MZ'!$A$6:$A$458,0)</f>
        <v>84</v>
      </c>
    </row>
    <row r="97" spans="1:21">
      <c r="A97">
        <v>10541729</v>
      </c>
      <c r="B97">
        <v>6.54635773797881</v>
      </c>
      <c r="C97">
        <v>2.4583310240418399</v>
      </c>
      <c r="E97" s="2">
        <v>10541729</v>
      </c>
      <c r="F97" t="str">
        <f t="shared" si="2"/>
        <v>Affy 1.0 ST</v>
      </c>
      <c r="G97" t="s">
        <v>2142</v>
      </c>
      <c r="H97" t="str">
        <f>"Cdca3"</f>
        <v>Cdca3</v>
      </c>
      <c r="I97" t="str">
        <f>"cell division cycle associated 3"</f>
        <v>cell division cycle associated 3</v>
      </c>
      <c r="O97" s="3">
        <f>MATCH(A97,'actMatureT&amp;NK'!$A$6:$A$336,0)</f>
        <v>128</v>
      </c>
      <c r="Q97" s="3">
        <f>MATCH(A97,'actImmT&amp;B'!$A$6:$A$879,0)</f>
        <v>119</v>
      </c>
      <c r="S97" s="3" t="e">
        <f>MATCH(A97,'GC-Bcell vs actMatureT&amp;NK,MZ'!$A$6:$A$698,0)</f>
        <v>#N/A</v>
      </c>
      <c r="U97" s="3" t="e">
        <f>MATCH(A97,'GC-Bcell vs actImmatureT&amp;B, MZ'!$A$6:$A$458,0)</f>
        <v>#N/A</v>
      </c>
    </row>
    <row r="98" spans="1:21">
      <c r="A98">
        <v>10540738</v>
      </c>
      <c r="B98">
        <v>6.5296922547697704</v>
      </c>
      <c r="C98">
        <v>2.2606690896031498</v>
      </c>
      <c r="E98" s="2">
        <v>10540738</v>
      </c>
      <c r="F98" t="str">
        <f t="shared" si="2"/>
        <v>Affy 1.0 ST</v>
      </c>
      <c r="G98" t="s">
        <v>2143</v>
      </c>
      <c r="H98" t="str">
        <f>"Fancd2"</f>
        <v>Fancd2</v>
      </c>
      <c r="I98" t="s">
        <v>2158</v>
      </c>
      <c r="O98" s="3">
        <f>MATCH(A98,'actMatureT&amp;NK'!$A$6:$A$336,0)</f>
        <v>122</v>
      </c>
      <c r="Q98" s="3">
        <f>MATCH(A98,'actImmT&amp;B'!$A$6:$A$879,0)</f>
        <v>80</v>
      </c>
      <c r="S98" s="3" t="e">
        <f>MATCH(A98,'GC-Bcell vs actMatureT&amp;NK,MZ'!$A$6:$A$698,0)</f>
        <v>#N/A</v>
      </c>
      <c r="U98" s="3" t="e">
        <f>MATCH(A98,'GC-Bcell vs actImmatureT&amp;B, MZ'!$A$6:$A$458,0)</f>
        <v>#N/A</v>
      </c>
    </row>
    <row r="99" spans="1:21">
      <c r="A99">
        <v>10491805</v>
      </c>
      <c r="B99">
        <v>6.4787897298790398</v>
      </c>
      <c r="C99">
        <v>1.8195729355491099</v>
      </c>
      <c r="E99" s="2">
        <v>10491805</v>
      </c>
      <c r="F99" t="str">
        <f t="shared" si="2"/>
        <v>Affy 1.0 ST</v>
      </c>
      <c r="G99" t="s">
        <v>2144</v>
      </c>
      <c r="H99" t="str">
        <f>"Plk4"</f>
        <v>Plk4</v>
      </c>
      <c r="I99" t="str">
        <f>"polo-like kinase 4 (Drosophila)"</f>
        <v>polo-like kinase 4 (Drosophila)</v>
      </c>
      <c r="O99" s="3">
        <f>MATCH(A99,'actMatureT&amp;NK'!$A$6:$A$336,0)</f>
        <v>167</v>
      </c>
      <c r="Q99" s="3">
        <f>MATCH(A99,'actImmT&amp;B'!$A$6:$A$879,0)</f>
        <v>103</v>
      </c>
      <c r="S99" s="3" t="e">
        <f>MATCH(A99,'GC-Bcell vs actMatureT&amp;NK,MZ'!$A$6:$A$698,0)</f>
        <v>#N/A</v>
      </c>
      <c r="U99" s="3" t="e">
        <f>MATCH(A99,'GC-Bcell vs actImmatureT&amp;B, MZ'!$A$6:$A$458,0)</f>
        <v>#N/A</v>
      </c>
    </row>
    <row r="100" spans="1:21">
      <c r="A100">
        <v>10438378</v>
      </c>
      <c r="B100">
        <v>6.44339883847561</v>
      </c>
      <c r="C100">
        <v>1.8923683985005899</v>
      </c>
      <c r="E100" s="2">
        <v>10438378</v>
      </c>
      <c r="F100" t="str">
        <f t="shared" si="2"/>
        <v>Affy 1.0 ST</v>
      </c>
      <c r="G100" t="s">
        <v>2145</v>
      </c>
      <c r="H100" t="str">
        <f>"Cdc45"</f>
        <v>Cdc45</v>
      </c>
      <c r="I100" t="str">
        <f>"cell division cycle 45 homolog (S. cerevisiae)"</f>
        <v>cell division cycle 45 homolog (S. cerevisiae)</v>
      </c>
      <c r="O100" s="3">
        <f>MATCH(A100,'actMatureT&amp;NK'!$A$6:$A$336,0)</f>
        <v>137</v>
      </c>
      <c r="Q100" s="3">
        <f>MATCH(A100,'actImmT&amp;B'!$A$6:$A$879,0)</f>
        <v>150</v>
      </c>
      <c r="S100" s="3" t="e">
        <f>MATCH(A100,'GC-Bcell vs actMatureT&amp;NK,MZ'!$A$6:$A$698,0)</f>
        <v>#N/A</v>
      </c>
      <c r="U100" s="3" t="e">
        <f>MATCH(A100,'GC-Bcell vs actImmatureT&amp;B, MZ'!$A$6:$A$458,0)</f>
        <v>#N/A</v>
      </c>
    </row>
    <row r="101" spans="1:21">
      <c r="A101">
        <v>10535979</v>
      </c>
      <c r="B101">
        <v>6.4104173659199004</v>
      </c>
      <c r="C101">
        <v>1.8566225262026701</v>
      </c>
      <c r="E101" s="2">
        <v>10535979</v>
      </c>
      <c r="F101" t="str">
        <f t="shared" si="2"/>
        <v>Affy 1.0 ST</v>
      </c>
      <c r="G101" t="s">
        <v>1193</v>
      </c>
      <c r="H101" t="str">
        <f>"Rfc3"</f>
        <v>Rfc3</v>
      </c>
      <c r="I101" t="str">
        <f>"replication factor C (activator 1) 3"</f>
        <v>replication factor C (activator 1) 3</v>
      </c>
      <c r="O101" s="3">
        <f>MATCH(A101,'actMatureT&amp;NK'!$A$6:$A$336,0)</f>
        <v>178</v>
      </c>
      <c r="Q101" s="3" t="e">
        <f>MATCH(A101,'actImmT&amp;B'!$A$6:$A$879,0)</f>
        <v>#N/A</v>
      </c>
      <c r="S101" s="3">
        <f>MATCH(A101,'GC-Bcell vs actMatureT&amp;NK,MZ'!$A$6:$A$698,0)</f>
        <v>280</v>
      </c>
      <c r="U101" s="3" t="e">
        <f>MATCH(A101,'GC-Bcell vs actImmatureT&amp;B, MZ'!$A$6:$A$458,0)</f>
        <v>#N/A</v>
      </c>
    </row>
    <row r="102" spans="1:21">
      <c r="A102">
        <v>10503617</v>
      </c>
      <c r="B102">
        <v>6.2534553863948696</v>
      </c>
      <c r="C102">
        <v>2.2692599582141799</v>
      </c>
      <c r="E102" s="2">
        <v>10503617</v>
      </c>
      <c r="F102" t="str">
        <f t="shared" si="2"/>
        <v>Affy 1.0 ST</v>
      </c>
      <c r="G102" t="s">
        <v>2146</v>
      </c>
      <c r="H102" t="str">
        <f>"Mms22l"</f>
        <v>Mms22l</v>
      </c>
      <c r="I102" t="s">
        <v>2159</v>
      </c>
      <c r="O102" s="3">
        <f>MATCH(A102,'actMatureT&amp;NK'!$A$6:$A$336,0)</f>
        <v>163</v>
      </c>
      <c r="Q102" s="3">
        <f>MATCH(A102,'actImmT&amp;B'!$A$6:$A$879,0)</f>
        <v>220</v>
      </c>
      <c r="S102" s="3" t="e">
        <f>MATCH(A102,'GC-Bcell vs actMatureT&amp;NK,MZ'!$A$6:$A$698,0)</f>
        <v>#N/A</v>
      </c>
      <c r="U102" s="3" t="e">
        <f>MATCH(A102,'GC-Bcell vs actImmatureT&amp;B, MZ'!$A$6:$A$458,0)</f>
        <v>#N/A</v>
      </c>
    </row>
    <row r="103" spans="1:21">
      <c r="A103">
        <v>10475362</v>
      </c>
      <c r="B103">
        <v>6.2406947567864597</v>
      </c>
      <c r="C103">
        <v>2.92331248008816</v>
      </c>
      <c r="E103" s="2">
        <v>10475362</v>
      </c>
      <c r="F103" t="str">
        <f t="shared" si="2"/>
        <v>Affy 1.0 ST</v>
      </c>
      <c r="G103" t="s">
        <v>2185</v>
      </c>
      <c r="H103" t="str">
        <f>"Wdr76"</f>
        <v>Wdr76</v>
      </c>
      <c r="I103" t="str">
        <f>"WD repeat domain 76"</f>
        <v>WD repeat domain 76</v>
      </c>
      <c r="O103" s="3">
        <f>MATCH(A103,'actMatureT&amp;NK'!$A$6:$A$336,0)</f>
        <v>214</v>
      </c>
      <c r="Q103" s="3">
        <f>MATCH(A103,'actImmT&amp;B'!$A$6:$A$879,0)</f>
        <v>224</v>
      </c>
      <c r="S103" s="3" t="e">
        <f>MATCH(A103,'GC-Bcell vs actMatureT&amp;NK,MZ'!$A$6:$A$698,0)</f>
        <v>#N/A</v>
      </c>
      <c r="U103" s="3" t="e">
        <f>MATCH(A103,'GC-Bcell vs actImmatureT&amp;B, MZ'!$A$6:$A$458,0)</f>
        <v>#N/A</v>
      </c>
    </row>
    <row r="104" spans="1:21">
      <c r="A104">
        <v>10566268</v>
      </c>
      <c r="B104">
        <v>6.2014536845660304</v>
      </c>
      <c r="C104">
        <v>0.62681773566996102</v>
      </c>
      <c r="E104" s="2">
        <v>10566268</v>
      </c>
      <c r="F104" t="str">
        <f t="shared" si="2"/>
        <v>Affy 1.0 ST</v>
      </c>
      <c r="G104" t="s">
        <v>1824</v>
      </c>
      <c r="H104" t="str">
        <f>"Hbb-bh1"</f>
        <v>Hbb-bh1</v>
      </c>
      <c r="I104" t="s">
        <v>2160</v>
      </c>
      <c r="O104" s="3" t="e">
        <f>MATCH(A104,'actMatureT&amp;NK'!$A$6:$A$336,0)</f>
        <v>#N/A</v>
      </c>
      <c r="Q104" s="3" t="e">
        <f>MATCH(A104,'actImmT&amp;B'!$A$6:$A$879,0)</f>
        <v>#N/A</v>
      </c>
      <c r="S104" s="3">
        <f>MATCH(A104,'GC-Bcell vs actMatureT&amp;NK,MZ'!$A$6:$A$698,0)</f>
        <v>69</v>
      </c>
      <c r="U104" s="3">
        <f>MATCH(A104,'GC-Bcell vs actImmatureT&amp;B, MZ'!$A$6:$A$458,0)</f>
        <v>47</v>
      </c>
    </row>
    <row r="105" spans="1:21">
      <c r="A105">
        <v>10599612</v>
      </c>
      <c r="B105">
        <v>6.1971085065312996</v>
      </c>
      <c r="C105">
        <v>2.6575626779177699</v>
      </c>
      <c r="E105" s="2">
        <v>10599612</v>
      </c>
      <c r="F105" t="str">
        <f t="shared" si="2"/>
        <v>Affy 1.0 ST</v>
      </c>
      <c r="G105" t="s">
        <v>1268</v>
      </c>
      <c r="H105" t="str">
        <f>"Phf6"</f>
        <v>Phf6</v>
      </c>
      <c r="I105" t="str">
        <f>"PHD finger protein 6"</f>
        <v>PHD finger protein 6</v>
      </c>
      <c r="O105" s="3" t="e">
        <f>MATCH(A105,'actMatureT&amp;NK'!$A$6:$A$336,0)</f>
        <v>#N/A</v>
      </c>
      <c r="Q105" s="3">
        <f>MATCH(A105,'actImmT&amp;B'!$A$6:$A$879,0)</f>
        <v>715</v>
      </c>
      <c r="S105" s="3">
        <f>MATCH(A105,'GC-Bcell vs actMatureT&amp;NK,MZ'!$A$6:$A$698,0)</f>
        <v>244</v>
      </c>
      <c r="U105" s="3">
        <f>MATCH(A105,'GC-Bcell vs actImmatureT&amp;B, MZ'!$A$6:$A$458,0)</f>
        <v>214</v>
      </c>
    </row>
    <row r="106" spans="1:21">
      <c r="A106">
        <v>10416655</v>
      </c>
      <c r="B106">
        <v>6.1322694444844998</v>
      </c>
      <c r="C106">
        <v>1.3587803538073</v>
      </c>
      <c r="E106" s="2">
        <v>10416655</v>
      </c>
      <c r="F106" t="str">
        <f t="shared" si="2"/>
        <v>Affy 1.0 ST</v>
      </c>
      <c r="G106" t="s">
        <v>1369</v>
      </c>
      <c r="H106" t="str">
        <f>"Gm5465"</f>
        <v>Gm5465</v>
      </c>
      <c r="I106" t="str">
        <f>"predicted gene 5465"</f>
        <v>predicted gene 5465</v>
      </c>
      <c r="O106" s="3" t="e">
        <f>MATCH(A106,'actMatureT&amp;NK'!$A$6:$A$336,0)</f>
        <v>#N/A</v>
      </c>
      <c r="Q106" s="3">
        <f>MATCH(A106,'actImmT&amp;B'!$A$6:$A$879,0)</f>
        <v>197</v>
      </c>
      <c r="S106" s="3">
        <f>MATCH(A106,'GC-Bcell vs actMatureT&amp;NK,MZ'!$A$6:$A$698,0)</f>
        <v>156</v>
      </c>
      <c r="U106" s="3" t="e">
        <f>MATCH(A106,'GC-Bcell vs actImmatureT&amp;B, MZ'!$A$6:$A$458,0)</f>
        <v>#N/A</v>
      </c>
    </row>
    <row r="107" spans="1:21">
      <c r="A107">
        <v>10523802</v>
      </c>
      <c r="B107">
        <v>6.0336400941866399</v>
      </c>
      <c r="C107">
        <v>2.3222676150846402</v>
      </c>
      <c r="E107" s="2">
        <v>10523802</v>
      </c>
      <c r="F107" t="str">
        <f t="shared" si="2"/>
        <v>Affy 1.0 ST</v>
      </c>
      <c r="G107" t="s">
        <v>2186</v>
      </c>
      <c r="H107" t="str">
        <f>"Cdc7"</f>
        <v>Cdc7</v>
      </c>
      <c r="I107" t="str">
        <f>"cell division cycle 7 (S. cerevisiae)"</f>
        <v>cell division cycle 7 (S. cerevisiae)</v>
      </c>
      <c r="O107" s="3" t="e">
        <f>MATCH(A107,'actMatureT&amp;NK'!$A$6:$A$336,0)</f>
        <v>#N/A</v>
      </c>
      <c r="Q107" s="3">
        <f>MATCH(A107,'actImmT&amp;B'!$A$6:$A$879,0)</f>
        <v>239</v>
      </c>
      <c r="S107" s="3" t="e">
        <f>MATCH(A107,'GC-Bcell vs actMatureT&amp;NK,MZ'!$A$6:$A$698,0)</f>
        <v>#N/A</v>
      </c>
      <c r="U107" s="3" t="e">
        <f>MATCH(A107,'GC-Bcell vs actImmatureT&amp;B, MZ'!$A$6:$A$458,0)</f>
        <v>#N/A</v>
      </c>
    </row>
    <row r="108" spans="1:21">
      <c r="A108">
        <v>10530163</v>
      </c>
      <c r="B108">
        <v>5.97876975717704</v>
      </c>
      <c r="C108">
        <v>2.1550423191277099</v>
      </c>
      <c r="E108" s="2">
        <v>10530163</v>
      </c>
      <c r="F108" t="str">
        <f t="shared" si="2"/>
        <v>Affy 1.0 ST</v>
      </c>
      <c r="G108" t="s">
        <v>1555</v>
      </c>
      <c r="H108" t="str">
        <f>"Rfc1"</f>
        <v>Rfc1</v>
      </c>
      <c r="I108" t="str">
        <f>"replication factor C (activator 1) 1"</f>
        <v>replication factor C (activator 1) 1</v>
      </c>
      <c r="O108" s="3" t="e">
        <f>MATCH(A108,'actMatureT&amp;NK'!$A$6:$A$336,0)</f>
        <v>#N/A</v>
      </c>
      <c r="Q108" s="3" t="e">
        <f>MATCH(A108,'actImmT&amp;B'!$A$6:$A$879,0)</f>
        <v>#N/A</v>
      </c>
      <c r="S108" s="3">
        <f>MATCH(A108,'GC-Bcell vs actMatureT&amp;NK,MZ'!$A$6:$A$698,0)</f>
        <v>164</v>
      </c>
      <c r="U108" s="3">
        <f>MATCH(A108,'GC-Bcell vs actImmatureT&amp;B, MZ'!$A$6:$A$458,0)</f>
        <v>211</v>
      </c>
    </row>
    <row r="109" spans="1:21">
      <c r="A109">
        <v>10435525</v>
      </c>
      <c r="B109">
        <v>5.8869933841379796</v>
      </c>
      <c r="C109">
        <v>2.2303402648747399</v>
      </c>
      <c r="E109" s="2">
        <v>10435525</v>
      </c>
      <c r="F109" t="str">
        <f t="shared" si="2"/>
        <v>Affy 1.0 ST</v>
      </c>
      <c r="G109" t="s">
        <v>1627</v>
      </c>
      <c r="H109" t="str">
        <f>"Iqcb1"</f>
        <v>Iqcb1</v>
      </c>
      <c r="I109" t="str">
        <f>"IQ calmodulin-binding motif containing 1"</f>
        <v>IQ calmodulin-binding motif containing 1</v>
      </c>
      <c r="O109" s="3" t="e">
        <f>MATCH(A109,'actMatureT&amp;NK'!$A$6:$A$336,0)</f>
        <v>#N/A</v>
      </c>
      <c r="Q109" s="3" t="e">
        <f>MATCH(A109,'actImmT&amp;B'!$A$6:$A$879,0)</f>
        <v>#N/A</v>
      </c>
      <c r="S109" s="3">
        <f>MATCH(A109,'GC-Bcell vs actMatureT&amp;NK,MZ'!$A$6:$A$698,0)</f>
        <v>59</v>
      </c>
      <c r="U109" s="3">
        <f>MATCH(A109,'GC-Bcell vs actImmatureT&amp;B, MZ'!$A$6:$A$458,0)</f>
        <v>172</v>
      </c>
    </row>
    <row r="110" spans="1:21">
      <c r="A110">
        <v>10476989</v>
      </c>
      <c r="B110">
        <v>5.8806722505317301</v>
      </c>
      <c r="C110">
        <v>1.58308663398676</v>
      </c>
      <c r="E110" s="2">
        <v>10476989</v>
      </c>
      <c r="F110" t="str">
        <f t="shared" si="2"/>
        <v>Affy 1.0 ST</v>
      </c>
      <c r="G110" t="s">
        <v>2187</v>
      </c>
      <c r="H110" t="str">
        <f>"Gins1"</f>
        <v>Gins1</v>
      </c>
      <c r="I110" t="str">
        <f>"GINS complex subunit 1 (Psf1 homolog)"</f>
        <v>GINS complex subunit 1 (Psf1 homolog)</v>
      </c>
      <c r="O110" s="3">
        <f>MATCH(A110,'actMatureT&amp;NK'!$A$6:$A$336,0)</f>
        <v>166</v>
      </c>
      <c r="Q110" s="3">
        <f>MATCH(A110,'actImmT&amp;B'!$A$6:$A$879,0)</f>
        <v>181</v>
      </c>
      <c r="S110" s="3" t="e">
        <f>MATCH(A110,'GC-Bcell vs actMatureT&amp;NK,MZ'!$A$6:$A$698,0)</f>
        <v>#N/A</v>
      </c>
      <c r="U110" s="3" t="e">
        <f>MATCH(A110,'GC-Bcell vs actImmatureT&amp;B, MZ'!$A$6:$A$458,0)</f>
        <v>#N/A</v>
      </c>
    </row>
    <row r="111" spans="1:21">
      <c r="A111">
        <v>10494402</v>
      </c>
      <c r="B111">
        <v>5.8194080492075102</v>
      </c>
      <c r="C111">
        <v>2.0579852342622602</v>
      </c>
      <c r="E111" s="2">
        <v>10494402</v>
      </c>
      <c r="F111" t="str">
        <f t="shared" si="2"/>
        <v>Affy 1.0 ST</v>
      </c>
      <c r="G111" t="s">
        <v>1016</v>
      </c>
      <c r="H111" t="str">
        <f>"Hist2h3c1"</f>
        <v>Hist2h3c1</v>
      </c>
      <c r="I111" t="s">
        <v>2161</v>
      </c>
      <c r="O111" s="3">
        <f>MATCH(A111,'actMatureT&amp;NK'!$A$6:$A$336,0)</f>
        <v>206</v>
      </c>
      <c r="Q111" s="3" t="e">
        <f>MATCH(A111,'actImmT&amp;B'!$A$6:$A$879,0)</f>
        <v>#N/A</v>
      </c>
      <c r="S111" s="3">
        <f>MATCH(A111,'GC-Bcell vs actMatureT&amp;NK,MZ'!$A$6:$A$698,0)</f>
        <v>343</v>
      </c>
      <c r="U111" s="3" t="e">
        <f>MATCH(A111,'GC-Bcell vs actImmatureT&amp;B, MZ'!$A$6:$A$458,0)</f>
        <v>#N/A</v>
      </c>
    </row>
    <row r="112" spans="1:21">
      <c r="A112">
        <v>10586454</v>
      </c>
      <c r="B112">
        <v>5.8109368671520798</v>
      </c>
      <c r="C112">
        <v>1.15709601818453</v>
      </c>
      <c r="E112" s="2">
        <v>10586454</v>
      </c>
      <c r="F112" t="str">
        <f t="shared" si="2"/>
        <v>Affy 1.0 ST</v>
      </c>
      <c r="G112" t="s">
        <v>2188</v>
      </c>
      <c r="H112" t="str">
        <f>"D030028M11Rik"</f>
        <v>D030028M11Rik</v>
      </c>
      <c r="I112" t="str">
        <f>"RIKEN cDNA D030028M11 gene"</f>
        <v>RIKEN cDNA D030028M11 gene</v>
      </c>
      <c r="O112" s="3">
        <f>MATCH(A112,'actMatureT&amp;NK'!$A$6:$A$336,0)</f>
        <v>170</v>
      </c>
      <c r="Q112" s="3">
        <f>MATCH(A112,'actImmT&amp;B'!$A$6:$A$879,0)</f>
        <v>248</v>
      </c>
      <c r="S112" s="3" t="e">
        <f>MATCH(A112,'GC-Bcell vs actMatureT&amp;NK,MZ'!$A$6:$A$698,0)</f>
        <v>#N/A</v>
      </c>
      <c r="U112" s="3" t="e">
        <f>MATCH(A112,'GC-Bcell vs actImmatureT&amp;B, MZ'!$A$6:$A$458,0)</f>
        <v>#N/A</v>
      </c>
    </row>
    <row r="113" spans="1:21">
      <c r="A113">
        <v>10571911</v>
      </c>
      <c r="B113">
        <v>5.7710962606219303</v>
      </c>
      <c r="C113">
        <v>1.3703736904520301</v>
      </c>
      <c r="E113" s="2">
        <v>10571911</v>
      </c>
      <c r="F113" t="str">
        <f t="shared" si="2"/>
        <v>Affy 1.0 ST</v>
      </c>
      <c r="G113" t="s">
        <v>2189</v>
      </c>
      <c r="H113" t="str">
        <f>"2700029M09Rik"</f>
        <v>2700029M09Rik</v>
      </c>
      <c r="I113" t="str">
        <f>"RIKEN cDNA 2700029M09 gene"</f>
        <v>RIKEN cDNA 2700029M09 gene</v>
      </c>
      <c r="O113" s="3" t="e">
        <f>MATCH(A113,'actMatureT&amp;NK'!$A$6:$A$336,0)</f>
        <v>#N/A</v>
      </c>
      <c r="Q113" s="3">
        <f>MATCH(A113,'actImmT&amp;B'!$A$6:$A$879,0)</f>
        <v>309</v>
      </c>
      <c r="S113" s="3" t="e">
        <f>MATCH(A113,'GC-Bcell vs actMatureT&amp;NK,MZ'!$A$6:$A$698,0)</f>
        <v>#N/A</v>
      </c>
      <c r="U113" s="3" t="e">
        <f>MATCH(A113,'GC-Bcell vs actImmatureT&amp;B, MZ'!$A$6:$A$458,0)</f>
        <v>#N/A</v>
      </c>
    </row>
    <row r="114" spans="1:21">
      <c r="A114">
        <v>10395908</v>
      </c>
      <c r="B114">
        <v>5.76604477654082</v>
      </c>
      <c r="C114">
        <v>1.7907392736157399</v>
      </c>
      <c r="E114" s="2">
        <v>10395908</v>
      </c>
      <c r="F114" t="str">
        <f>""</f>
        <v/>
      </c>
      <c r="G114" t="s">
        <v>2038</v>
      </c>
      <c r="O114" s="3" t="e">
        <f>MATCH(A114,'actMatureT&amp;NK'!$A$6:$A$336,0)</f>
        <v>#N/A</v>
      </c>
      <c r="Q114" s="3" t="e">
        <f>MATCH(A114,'actImmT&amp;B'!$A$6:$A$879,0)</f>
        <v>#N/A</v>
      </c>
      <c r="S114" s="3">
        <f>MATCH(A114,'GC-Bcell vs actMatureT&amp;NK,MZ'!$A$6:$A$698,0)</f>
        <v>133</v>
      </c>
      <c r="U114" s="3">
        <f>MATCH(A114,'GC-Bcell vs actImmatureT&amp;B, MZ'!$A$6:$A$458,0)</f>
        <v>89</v>
      </c>
    </row>
    <row r="115" spans="1:21">
      <c r="A115">
        <v>10501402</v>
      </c>
      <c r="B115">
        <v>5.6808778526551</v>
      </c>
      <c r="C115">
        <v>2.2058099148588601</v>
      </c>
      <c r="E115" s="2">
        <v>10501402</v>
      </c>
      <c r="F115" t="str">
        <f t="shared" ref="F115:F178" si="3">"Affy 1.0 ST"</f>
        <v>Affy 1.0 ST</v>
      </c>
      <c r="G115" t="s">
        <v>2190</v>
      </c>
      <c r="H115" t="str">
        <f>"Gpsm2"</f>
        <v>Gpsm2</v>
      </c>
      <c r="I115" t="s">
        <v>2049</v>
      </c>
      <c r="O115" s="3" t="e">
        <f>MATCH(A115,'actMatureT&amp;NK'!$A$6:$A$336,0)</f>
        <v>#N/A</v>
      </c>
      <c r="Q115" s="3">
        <f>MATCH(A115,'actImmT&amp;B'!$A$6:$A$879,0)</f>
        <v>200</v>
      </c>
      <c r="S115" s="3" t="e">
        <f>MATCH(A115,'GC-Bcell vs actMatureT&amp;NK,MZ'!$A$6:$A$698,0)</f>
        <v>#N/A</v>
      </c>
      <c r="U115" s="3" t="e">
        <f>MATCH(A115,'GC-Bcell vs actImmatureT&amp;B, MZ'!$A$6:$A$458,0)</f>
        <v>#N/A</v>
      </c>
    </row>
    <row r="116" spans="1:21">
      <c r="A116">
        <v>10352048</v>
      </c>
      <c r="B116">
        <v>5.65365118938211</v>
      </c>
      <c r="C116">
        <v>1.54918364302178</v>
      </c>
      <c r="E116" s="2">
        <v>10352048</v>
      </c>
      <c r="F116" t="str">
        <f t="shared" si="3"/>
        <v>Affy 1.0 ST</v>
      </c>
      <c r="G116" t="s">
        <v>2191</v>
      </c>
      <c r="H116" t="str">
        <f>"Exo1"</f>
        <v>Exo1</v>
      </c>
      <c r="I116" t="str">
        <f>"exonuclease 1"</f>
        <v>exonuclease 1</v>
      </c>
      <c r="O116" s="3">
        <f>MATCH(A116,'actMatureT&amp;NK'!$A$6:$A$336,0)</f>
        <v>111</v>
      </c>
      <c r="Q116" s="3" t="e">
        <f>MATCH(A116,'actImmT&amp;B'!$A$6:$A$879,0)</f>
        <v>#N/A</v>
      </c>
      <c r="S116" s="3" t="e">
        <f>MATCH(A116,'GC-Bcell vs actMatureT&amp;NK,MZ'!$A$6:$A$698,0)</f>
        <v>#N/A</v>
      </c>
      <c r="U116" s="3" t="e">
        <f>MATCH(A116,'GC-Bcell vs actImmatureT&amp;B, MZ'!$A$6:$A$458,0)</f>
        <v>#N/A</v>
      </c>
    </row>
    <row r="117" spans="1:21">
      <c r="A117">
        <v>10540579</v>
      </c>
      <c r="B117">
        <v>5.6318902383783502</v>
      </c>
      <c r="C117">
        <v>2.0557670222112199</v>
      </c>
      <c r="E117" s="2">
        <v>10540579</v>
      </c>
      <c r="F117" t="str">
        <f t="shared" si="3"/>
        <v>Affy 1.0 ST</v>
      </c>
      <c r="G117" t="s">
        <v>1671</v>
      </c>
      <c r="H117" t="str">
        <f>"Mtmr14"</f>
        <v>Mtmr14</v>
      </c>
      <c r="I117" t="str">
        <f>"myotubularin related protein 14"</f>
        <v>myotubularin related protein 14</v>
      </c>
      <c r="O117" s="3" t="e">
        <f>MATCH(A117,'actMatureT&amp;NK'!$A$6:$A$336,0)</f>
        <v>#N/A</v>
      </c>
      <c r="Q117" s="3" t="e">
        <f>MATCH(A117,'actImmT&amp;B'!$A$6:$A$879,0)</f>
        <v>#N/A</v>
      </c>
      <c r="S117" s="3">
        <f>MATCH(A117,'GC-Bcell vs actMatureT&amp;NK,MZ'!$A$6:$A$698,0)</f>
        <v>75</v>
      </c>
      <c r="U117" s="3">
        <f>MATCH(A117,'GC-Bcell vs actImmatureT&amp;B, MZ'!$A$6:$A$458,0)</f>
        <v>137</v>
      </c>
    </row>
    <row r="118" spans="1:21">
      <c r="A118">
        <v>10600936</v>
      </c>
      <c r="B118">
        <v>5.5883395151918602</v>
      </c>
      <c r="C118">
        <v>0.97630134719398198</v>
      </c>
      <c r="E118" s="2">
        <v>10600936</v>
      </c>
      <c r="F118" t="str">
        <f t="shared" si="3"/>
        <v>Affy 1.0 ST</v>
      </c>
      <c r="G118" t="s">
        <v>1568</v>
      </c>
      <c r="H118" t="str">
        <f>"Efnb1"</f>
        <v>Efnb1</v>
      </c>
      <c r="I118" t="str">
        <f>"ephrin B1"</f>
        <v>ephrin B1</v>
      </c>
      <c r="O118" s="3" t="e">
        <f>MATCH(A118,'actMatureT&amp;NK'!$A$6:$A$336,0)</f>
        <v>#N/A</v>
      </c>
      <c r="Q118" s="3" t="e">
        <f>MATCH(A118,'actImmT&amp;B'!$A$6:$A$879,0)</f>
        <v>#N/A</v>
      </c>
      <c r="S118" s="3">
        <f>MATCH(A118,'GC-Bcell vs actMatureT&amp;NK,MZ'!$A$6:$A$698,0)</f>
        <v>102</v>
      </c>
      <c r="U118" s="3">
        <f>MATCH(A118,'GC-Bcell vs actImmatureT&amp;B, MZ'!$A$6:$A$458,0)</f>
        <v>53</v>
      </c>
    </row>
    <row r="119" spans="1:21">
      <c r="A119">
        <v>10600476</v>
      </c>
      <c r="B119">
        <v>5.4738507442887796</v>
      </c>
      <c r="C119">
        <v>2.1003296052003799</v>
      </c>
      <c r="E119" s="2">
        <v>10600476</v>
      </c>
      <c r="F119" t="str">
        <f t="shared" si="3"/>
        <v>Affy 1.0 ST</v>
      </c>
      <c r="G119" t="s">
        <v>1265</v>
      </c>
      <c r="H119" t="str">
        <f>"Gm4989"</f>
        <v>Gm4989</v>
      </c>
      <c r="I119" t="str">
        <f>"predicted pseudogene 4989"</f>
        <v>predicted pseudogene 4989</v>
      </c>
      <c r="O119" s="3" t="e">
        <f>MATCH(A119,'actMatureT&amp;NK'!$A$6:$A$336,0)</f>
        <v>#N/A</v>
      </c>
      <c r="Q119" s="3" t="e">
        <f>MATCH(A119,'actImmT&amp;B'!$A$6:$A$879,0)</f>
        <v>#N/A</v>
      </c>
      <c r="S119" s="3">
        <f>MATCH(A119,'GC-Bcell vs actMatureT&amp;NK,MZ'!$A$6:$A$698,0)</f>
        <v>181</v>
      </c>
      <c r="U119" s="3">
        <f>MATCH(A119,'GC-Bcell vs actImmatureT&amp;B, MZ'!$A$6:$A$458,0)</f>
        <v>126</v>
      </c>
    </row>
    <row r="120" spans="1:21">
      <c r="A120">
        <v>10546088</v>
      </c>
      <c r="B120">
        <v>5.4318015069040797</v>
      </c>
      <c r="C120">
        <v>1.06821442119826</v>
      </c>
      <c r="E120" s="2">
        <v>10546088</v>
      </c>
      <c r="F120" t="str">
        <f t="shared" si="3"/>
        <v>Affy 1.0 ST</v>
      </c>
      <c r="G120" t="s">
        <v>1615</v>
      </c>
      <c r="H120" t="str">
        <f>"H1fx"</f>
        <v>H1fx</v>
      </c>
      <c r="I120" t="s">
        <v>2050</v>
      </c>
      <c r="O120" s="3" t="e">
        <f>MATCH(A120,'actMatureT&amp;NK'!$A$6:$A$336,0)</f>
        <v>#N/A</v>
      </c>
      <c r="Q120" s="3" t="e">
        <f>MATCH(A120,'actImmT&amp;B'!$A$6:$A$879,0)</f>
        <v>#N/A</v>
      </c>
      <c r="S120" s="3">
        <f>MATCH(A120,'GC-Bcell vs actMatureT&amp;NK,MZ'!$A$6:$A$698,0)</f>
        <v>122</v>
      </c>
      <c r="U120" s="3">
        <f>MATCH(A120,'GC-Bcell vs actImmatureT&amp;B, MZ'!$A$6:$A$458,0)</f>
        <v>135</v>
      </c>
    </row>
    <row r="121" spans="1:21">
      <c r="A121">
        <v>10437945</v>
      </c>
      <c r="B121">
        <v>5.4279693054109703</v>
      </c>
      <c r="C121">
        <v>2.5242414024898401</v>
      </c>
      <c r="E121" s="2">
        <v>10437945</v>
      </c>
      <c r="F121" t="str">
        <f t="shared" si="3"/>
        <v>Affy 1.0 ST</v>
      </c>
      <c r="G121" t="s">
        <v>2192</v>
      </c>
      <c r="H121" t="str">
        <f>"Mcm4"</f>
        <v>Mcm4</v>
      </c>
      <c r="I121" t="str">
        <f>"minichromosome maintenance deficient 4 homolog (S. cerevisiae)"</f>
        <v>minichromosome maintenance deficient 4 homolog (S. cerevisiae)</v>
      </c>
      <c r="O121" s="3">
        <f>MATCH(A121,'actMatureT&amp;NK'!$A$6:$A$336,0)</f>
        <v>176</v>
      </c>
      <c r="Q121" s="3" t="e">
        <f>MATCH(A121,'actImmT&amp;B'!$A$6:$A$879,0)</f>
        <v>#N/A</v>
      </c>
      <c r="S121" s="3" t="e">
        <f>MATCH(A121,'GC-Bcell vs actMatureT&amp;NK,MZ'!$A$6:$A$698,0)</f>
        <v>#N/A</v>
      </c>
      <c r="U121" s="3" t="e">
        <f>MATCH(A121,'GC-Bcell vs actImmatureT&amp;B, MZ'!$A$6:$A$458,0)</f>
        <v>#N/A</v>
      </c>
    </row>
    <row r="122" spans="1:21">
      <c r="A122">
        <v>10523905</v>
      </c>
      <c r="B122">
        <v>5.4267079812980104</v>
      </c>
      <c r="C122">
        <v>2.2385638076530698</v>
      </c>
      <c r="E122" s="2">
        <v>10523905</v>
      </c>
      <c r="F122" t="str">
        <f t="shared" si="3"/>
        <v>Affy 1.0 ST</v>
      </c>
      <c r="G122" t="s">
        <v>1301</v>
      </c>
      <c r="H122" t="str">
        <f>"Mtf2"</f>
        <v>Mtf2</v>
      </c>
      <c r="I122" t="str">
        <f>"metal response element binding transcription factor 2"</f>
        <v>metal response element binding transcription factor 2</v>
      </c>
      <c r="O122" s="3" t="e">
        <f>MATCH(A122,'actMatureT&amp;NK'!$A$6:$A$336,0)</f>
        <v>#N/A</v>
      </c>
      <c r="Q122" s="3" t="e">
        <f>MATCH(A122,'actImmT&amp;B'!$A$6:$A$879,0)</f>
        <v>#N/A</v>
      </c>
      <c r="S122" s="3">
        <f>MATCH(A122,'GC-Bcell vs actMatureT&amp;NK,MZ'!$A$6:$A$698,0)</f>
        <v>194</v>
      </c>
      <c r="U122" s="3">
        <f>MATCH(A122,'GC-Bcell vs actImmatureT&amp;B, MZ'!$A$6:$A$458,0)</f>
        <v>250</v>
      </c>
    </row>
    <row r="123" spans="1:21">
      <c r="A123">
        <v>10446027</v>
      </c>
      <c r="B123">
        <v>5.3526043980747202</v>
      </c>
      <c r="C123">
        <v>1.41224320571429</v>
      </c>
      <c r="E123" s="2">
        <v>10446027</v>
      </c>
      <c r="F123" t="str">
        <f t="shared" si="3"/>
        <v>Affy 1.0 ST</v>
      </c>
      <c r="G123" t="s">
        <v>2193</v>
      </c>
      <c r="H123" t="str">
        <f>"Chaf1a"</f>
        <v>Chaf1a</v>
      </c>
      <c r="I123" t="s">
        <v>2051</v>
      </c>
      <c r="O123" s="3">
        <f>MATCH(A123,'actMatureT&amp;NK'!$A$6:$A$336,0)</f>
        <v>151</v>
      </c>
      <c r="Q123" s="3">
        <f>MATCH(A123,'actImmT&amp;B'!$A$6:$A$879,0)</f>
        <v>252</v>
      </c>
      <c r="S123" s="3" t="e">
        <f>MATCH(A123,'GC-Bcell vs actMatureT&amp;NK,MZ'!$A$6:$A$698,0)</f>
        <v>#N/A</v>
      </c>
      <c r="U123" s="3" t="e">
        <f>MATCH(A123,'GC-Bcell vs actImmatureT&amp;B, MZ'!$A$6:$A$458,0)</f>
        <v>#N/A</v>
      </c>
    </row>
    <row r="124" spans="1:21">
      <c r="A124">
        <v>10601328</v>
      </c>
      <c r="B124">
        <v>5.3485796625051103</v>
      </c>
      <c r="C124">
        <v>2.2997882238228202</v>
      </c>
      <c r="E124" s="2">
        <v>10601328</v>
      </c>
      <c r="F124" t="str">
        <f t="shared" si="3"/>
        <v>Affy 1.0 ST</v>
      </c>
      <c r="G124" t="s">
        <v>1501</v>
      </c>
      <c r="H124" t="str">
        <f>"Uprt"</f>
        <v>Uprt</v>
      </c>
      <c r="I124" t="str">
        <f>"uracil phosphoribosyltransferase (FUR1) homolog (S. cerevisiae)"</f>
        <v>uracil phosphoribosyltransferase (FUR1) homolog (S. cerevisiae)</v>
      </c>
      <c r="O124" s="3" t="e">
        <f>MATCH(A124,'actMatureT&amp;NK'!$A$6:$A$336,0)</f>
        <v>#N/A</v>
      </c>
      <c r="Q124" s="3" t="e">
        <f>MATCH(A124,'actImmT&amp;B'!$A$6:$A$879,0)</f>
        <v>#N/A</v>
      </c>
      <c r="S124" s="3">
        <f>MATCH(A124,'GC-Bcell vs actMatureT&amp;NK,MZ'!$A$6:$A$698,0)</f>
        <v>143</v>
      </c>
      <c r="U124" s="3">
        <f>MATCH(A124,'GC-Bcell vs actImmatureT&amp;B, MZ'!$A$6:$A$458,0)</f>
        <v>76</v>
      </c>
    </row>
    <row r="125" spans="1:21">
      <c r="A125">
        <v>10466410</v>
      </c>
      <c r="B125">
        <v>5.2745098736111098</v>
      </c>
      <c r="C125">
        <v>2.08478474383339</v>
      </c>
      <c r="E125" s="2">
        <v>10466410</v>
      </c>
      <c r="F125" t="str">
        <f t="shared" si="3"/>
        <v>Affy 1.0 ST</v>
      </c>
      <c r="G125" t="s">
        <v>2194</v>
      </c>
      <c r="H125" t="str">
        <f>"Psat1"</f>
        <v>Psat1</v>
      </c>
      <c r="I125" t="str">
        <f>"phosphoserine aminotransferase 1"</f>
        <v>phosphoserine aminotransferase 1</v>
      </c>
      <c r="O125" s="3" t="e">
        <f>MATCH(A125,'actMatureT&amp;NK'!$A$6:$A$336,0)</f>
        <v>#N/A</v>
      </c>
      <c r="Q125" s="3" t="e">
        <f>MATCH(A125,'actImmT&amp;B'!$A$6:$A$879,0)</f>
        <v>#N/A</v>
      </c>
      <c r="S125" s="3" t="e">
        <f>MATCH(A125,'GC-Bcell vs actMatureT&amp;NK,MZ'!$A$6:$A$698,0)</f>
        <v>#N/A</v>
      </c>
      <c r="U125" s="3" t="e">
        <f>MATCH(A125,'GC-Bcell vs actImmatureT&amp;B, MZ'!$A$6:$A$458,0)</f>
        <v>#N/A</v>
      </c>
    </row>
    <row r="126" spans="1:21">
      <c r="A126">
        <v>10528077</v>
      </c>
      <c r="B126">
        <v>5.2706227386686901</v>
      </c>
      <c r="C126">
        <v>1.94491503999653</v>
      </c>
      <c r="E126" s="2">
        <v>10528077</v>
      </c>
      <c r="F126" t="str">
        <f t="shared" si="3"/>
        <v>Affy 1.0 ST</v>
      </c>
      <c r="G126" t="s">
        <v>2195</v>
      </c>
      <c r="H126" t="str">
        <f>"Dbf4"</f>
        <v>Dbf4</v>
      </c>
      <c r="I126" t="str">
        <f>"DBF4 homolog (S. cerevisiae)"</f>
        <v>DBF4 homolog (S. cerevisiae)</v>
      </c>
      <c r="O126" s="3" t="e">
        <f>MATCH(A126,'actMatureT&amp;NK'!$A$6:$A$336,0)</f>
        <v>#N/A</v>
      </c>
      <c r="Q126" s="3">
        <f>MATCH(A126,'actImmT&amp;B'!$A$6:$A$879,0)</f>
        <v>213</v>
      </c>
      <c r="S126" s="3" t="e">
        <f>MATCH(A126,'GC-Bcell vs actMatureT&amp;NK,MZ'!$A$6:$A$698,0)</f>
        <v>#N/A</v>
      </c>
      <c r="U126" s="3" t="e">
        <f>MATCH(A126,'GC-Bcell vs actImmatureT&amp;B, MZ'!$A$6:$A$458,0)</f>
        <v>#N/A</v>
      </c>
    </row>
    <row r="127" spans="1:21">
      <c r="A127">
        <v>10573615</v>
      </c>
      <c r="B127">
        <v>5.2605728487122603</v>
      </c>
      <c r="C127">
        <v>1.3093344048069999</v>
      </c>
      <c r="E127" s="2">
        <v>10573615</v>
      </c>
      <c r="F127" t="str">
        <f t="shared" si="3"/>
        <v>Affy 1.0 ST</v>
      </c>
      <c r="G127" t="s">
        <v>2196</v>
      </c>
      <c r="H127" t="str">
        <f>"Orc6"</f>
        <v>Orc6</v>
      </c>
      <c r="I127" t="s">
        <v>2052</v>
      </c>
      <c r="O127" s="3">
        <f>MATCH(A127,'actMatureT&amp;NK'!$A$6:$A$336,0)</f>
        <v>169</v>
      </c>
      <c r="Q127" s="3">
        <f>MATCH(A127,'actImmT&amp;B'!$A$6:$A$879,0)</f>
        <v>262</v>
      </c>
      <c r="S127" s="3" t="e">
        <f>MATCH(A127,'GC-Bcell vs actMatureT&amp;NK,MZ'!$A$6:$A$698,0)</f>
        <v>#N/A</v>
      </c>
      <c r="U127" s="3" t="e">
        <f>MATCH(A127,'GC-Bcell vs actImmatureT&amp;B, MZ'!$A$6:$A$458,0)</f>
        <v>#N/A</v>
      </c>
    </row>
    <row r="128" spans="1:21">
      <c r="A128">
        <v>10416793</v>
      </c>
      <c r="B128">
        <v>5.2501079611655896</v>
      </c>
      <c r="C128">
        <v>2.06751503280148</v>
      </c>
      <c r="E128" s="2">
        <v>10416793</v>
      </c>
      <c r="F128" t="str">
        <f t="shared" si="3"/>
        <v>Affy 1.0 ST</v>
      </c>
      <c r="G128" t="s">
        <v>955</v>
      </c>
      <c r="H128" t="str">
        <f>"Uchl3"</f>
        <v>Uchl3</v>
      </c>
      <c r="I128" t="str">
        <f>"ubiquitin carboxyl-terminal esterase L3 (ubiquitin thiolesterase)"</f>
        <v>ubiquitin carboxyl-terminal esterase L3 (ubiquitin thiolesterase)</v>
      </c>
      <c r="O128" s="3">
        <f>MATCH(A128,'actMatureT&amp;NK'!$A$6:$A$336,0)</f>
        <v>275</v>
      </c>
      <c r="Q128" s="3" t="e">
        <f>MATCH(A128,'actImmT&amp;B'!$A$6:$A$879,0)</f>
        <v>#N/A</v>
      </c>
      <c r="S128" s="3">
        <f>MATCH(A128,'GC-Bcell vs actMatureT&amp;NK,MZ'!$A$6:$A$698,0)</f>
        <v>383</v>
      </c>
      <c r="U128" s="3">
        <f>MATCH(A128,'GC-Bcell vs actImmatureT&amp;B, MZ'!$A$6:$A$458,0)</f>
        <v>254</v>
      </c>
    </row>
    <row r="129" spans="1:21">
      <c r="A129">
        <v>10591412</v>
      </c>
      <c r="B129">
        <v>5.1851248959744396</v>
      </c>
      <c r="C129">
        <v>1.19408001288893</v>
      </c>
      <c r="E129" s="2">
        <v>10591412</v>
      </c>
      <c r="F129" t="str">
        <f t="shared" si="3"/>
        <v>Affy 1.0 ST</v>
      </c>
      <c r="G129" t="s">
        <v>1587</v>
      </c>
      <c r="H129" t="str">
        <f>"S1pr2"</f>
        <v>S1pr2</v>
      </c>
      <c r="I129" t="str">
        <f>"sphingosine-1-phosphate receptor 2"</f>
        <v>sphingosine-1-phosphate receptor 2</v>
      </c>
      <c r="O129" s="3" t="e">
        <f>MATCH(A129,'actMatureT&amp;NK'!$A$6:$A$336,0)</f>
        <v>#N/A</v>
      </c>
      <c r="Q129" s="3" t="e">
        <f>MATCH(A129,'actImmT&amp;B'!$A$6:$A$879,0)</f>
        <v>#N/A</v>
      </c>
      <c r="S129" s="3">
        <f>MATCH(A129,'GC-Bcell vs actMatureT&amp;NK,MZ'!$A$6:$A$698,0)</f>
        <v>110</v>
      </c>
      <c r="U129" s="3">
        <f>MATCH(A129,'GC-Bcell vs actImmatureT&amp;B, MZ'!$A$6:$A$458,0)</f>
        <v>59</v>
      </c>
    </row>
    <row r="130" spans="1:21">
      <c r="A130">
        <v>10452709</v>
      </c>
      <c r="B130">
        <v>5.1778762419901199</v>
      </c>
      <c r="C130">
        <v>1.4781291398452401</v>
      </c>
      <c r="E130" s="2">
        <v>10452709</v>
      </c>
      <c r="F130" t="str">
        <f t="shared" si="3"/>
        <v>Affy 1.0 ST</v>
      </c>
      <c r="G130" t="s">
        <v>2197</v>
      </c>
      <c r="H130" t="str">
        <f>"Ndc80"</f>
        <v>Ndc80</v>
      </c>
      <c r="I130" t="s">
        <v>2053</v>
      </c>
      <c r="O130" s="3">
        <f>MATCH(A130,'actMatureT&amp;NK'!$A$6:$A$336,0)</f>
        <v>165</v>
      </c>
      <c r="Q130" s="3">
        <f>MATCH(A130,'actImmT&amp;B'!$A$6:$A$879,0)</f>
        <v>64</v>
      </c>
      <c r="S130" s="3" t="e">
        <f>MATCH(A130,'GC-Bcell vs actMatureT&amp;NK,MZ'!$A$6:$A$698,0)</f>
        <v>#N/A</v>
      </c>
      <c r="U130" s="3" t="e">
        <f>MATCH(A130,'GC-Bcell vs actImmatureT&amp;B, MZ'!$A$6:$A$458,0)</f>
        <v>#N/A</v>
      </c>
    </row>
    <row r="131" spans="1:21">
      <c r="A131">
        <v>10523923</v>
      </c>
      <c r="B131">
        <v>5.15839010318604</v>
      </c>
      <c r="C131">
        <v>0.86103790912424605</v>
      </c>
      <c r="E131" s="2">
        <v>10523923</v>
      </c>
      <c r="F131" t="str">
        <f t="shared" si="3"/>
        <v>Affy 1.0 ST</v>
      </c>
      <c r="G131" t="s">
        <v>1329</v>
      </c>
      <c r="H131" t="str">
        <f>"Ccdc18"</f>
        <v>Ccdc18</v>
      </c>
      <c r="I131" t="str">
        <f>"coiled-coil domain containing 18"</f>
        <v>coiled-coil domain containing 18</v>
      </c>
      <c r="O131" s="3" t="e">
        <f>MATCH(A131,'actMatureT&amp;NK'!$A$6:$A$336,0)</f>
        <v>#N/A</v>
      </c>
      <c r="Q131" s="3">
        <f>MATCH(A131,'actImmT&amp;B'!$A$6:$A$879,0)</f>
        <v>156</v>
      </c>
      <c r="S131" s="3">
        <f>MATCH(A131,'GC-Bcell vs actMatureT&amp;NK,MZ'!$A$6:$A$698,0)</f>
        <v>206</v>
      </c>
      <c r="U131" s="3" t="e">
        <f>MATCH(A131,'GC-Bcell vs actImmatureT&amp;B, MZ'!$A$6:$A$458,0)</f>
        <v>#N/A</v>
      </c>
    </row>
    <row r="132" spans="1:21">
      <c r="A132">
        <v>10431948</v>
      </c>
      <c r="B132">
        <v>5.1516297102390904</v>
      </c>
      <c r="C132">
        <v>2.1216183191130198</v>
      </c>
      <c r="E132" s="2">
        <v>10431948</v>
      </c>
      <c r="F132" t="str">
        <f t="shared" si="3"/>
        <v>Affy 1.0 ST</v>
      </c>
      <c r="G132" t="s">
        <v>1326</v>
      </c>
      <c r="H132" t="str">
        <f>"Rpap3"</f>
        <v>Rpap3</v>
      </c>
      <c r="I132" t="str">
        <f>"RNA polymerase II associated protein 3"</f>
        <v>RNA polymerase II associated protein 3</v>
      </c>
      <c r="O132" s="3" t="e">
        <f>MATCH(A132,'actMatureT&amp;NK'!$A$6:$A$336,0)</f>
        <v>#N/A</v>
      </c>
      <c r="Q132" s="3">
        <f>MATCH(A132,'actImmT&amp;B'!$A$6:$A$879,0)</f>
        <v>457</v>
      </c>
      <c r="S132" s="3">
        <f>MATCH(A132,'GC-Bcell vs actMatureT&amp;NK,MZ'!$A$6:$A$698,0)</f>
        <v>205</v>
      </c>
      <c r="U132" s="3" t="e">
        <f>MATCH(A132,'GC-Bcell vs actImmatureT&amp;B, MZ'!$A$6:$A$458,0)</f>
        <v>#N/A</v>
      </c>
    </row>
    <row r="133" spans="1:21">
      <c r="A133">
        <v>10495935</v>
      </c>
      <c r="B133">
        <v>5.1239077500446397</v>
      </c>
      <c r="C133">
        <v>1.42133370899114</v>
      </c>
      <c r="E133" s="2">
        <v>10495935</v>
      </c>
      <c r="F133" t="str">
        <f t="shared" si="3"/>
        <v>Affy 1.0 ST</v>
      </c>
      <c r="G133" t="s">
        <v>2198</v>
      </c>
      <c r="H133" t="str">
        <f>"4930422G04Rik"</f>
        <v>4930422G04Rik</v>
      </c>
      <c r="I133" t="str">
        <f>"RIKEN cDNA 4930422G04 gene"</f>
        <v>RIKEN cDNA 4930422G04 gene</v>
      </c>
      <c r="O133" s="3" t="e">
        <f>MATCH(A133,'actMatureT&amp;NK'!$A$6:$A$336,0)</f>
        <v>#N/A</v>
      </c>
      <c r="Q133" s="3">
        <f>MATCH(A133,'actImmT&amp;B'!$A$6:$A$879,0)</f>
        <v>172</v>
      </c>
      <c r="S133" s="3" t="e">
        <f>MATCH(A133,'GC-Bcell vs actMatureT&amp;NK,MZ'!$A$6:$A$698,0)</f>
        <v>#N/A</v>
      </c>
      <c r="U133" s="3" t="e">
        <f>MATCH(A133,'GC-Bcell vs actImmatureT&amp;B, MZ'!$A$6:$A$458,0)</f>
        <v>#N/A</v>
      </c>
    </row>
    <row r="134" spans="1:21">
      <c r="A134">
        <v>10554281</v>
      </c>
      <c r="B134">
        <v>5.0883406635897996</v>
      </c>
      <c r="C134">
        <v>1.39245224652799</v>
      </c>
      <c r="E134" s="2">
        <v>10554281</v>
      </c>
      <c r="F134" t="str">
        <f t="shared" si="3"/>
        <v>Affy 1.0 ST</v>
      </c>
      <c r="G134" t="s">
        <v>2199</v>
      </c>
      <c r="H134" t="str">
        <f>"Fanci"</f>
        <v>Fanci</v>
      </c>
      <c r="I134" t="s">
        <v>2054</v>
      </c>
      <c r="O134" s="3" t="e">
        <f>MATCH(A134,'actMatureT&amp;NK'!$A$6:$A$336,0)</f>
        <v>#N/A</v>
      </c>
      <c r="Q134" s="3">
        <f>MATCH(A134,'actImmT&amp;B'!$A$6:$A$879,0)</f>
        <v>298</v>
      </c>
      <c r="S134" s="3" t="e">
        <f>MATCH(A134,'GC-Bcell vs actMatureT&amp;NK,MZ'!$A$6:$A$698,0)</f>
        <v>#N/A</v>
      </c>
      <c r="U134" s="3" t="e">
        <f>MATCH(A134,'GC-Bcell vs actImmatureT&amp;B, MZ'!$A$6:$A$458,0)</f>
        <v>#N/A</v>
      </c>
    </row>
    <row r="135" spans="1:21">
      <c r="A135">
        <v>10603135</v>
      </c>
      <c r="B135">
        <v>5.0672154308786297</v>
      </c>
      <c r="C135">
        <v>1.5104019057475699</v>
      </c>
      <c r="E135" s="2">
        <v>10603135</v>
      </c>
      <c r="F135" t="str">
        <f t="shared" si="3"/>
        <v>Affy 1.0 ST</v>
      </c>
      <c r="G135" t="s">
        <v>2200</v>
      </c>
      <c r="H135" t="str">
        <f>"Fancb"</f>
        <v>Fancb</v>
      </c>
      <c r="I135" t="s">
        <v>2180</v>
      </c>
      <c r="O135" s="3" t="e">
        <f>MATCH(A135,'actMatureT&amp;NK'!$A$6:$A$336,0)</f>
        <v>#N/A</v>
      </c>
      <c r="Q135" s="3">
        <f>MATCH(A135,'actImmT&amp;B'!$A$6:$A$879,0)</f>
        <v>323</v>
      </c>
      <c r="S135" s="3" t="e">
        <f>MATCH(A135,'GC-Bcell vs actMatureT&amp;NK,MZ'!$A$6:$A$698,0)</f>
        <v>#N/A</v>
      </c>
      <c r="U135" s="3" t="e">
        <f>MATCH(A135,'GC-Bcell vs actImmatureT&amp;B, MZ'!$A$6:$A$458,0)</f>
        <v>#N/A</v>
      </c>
    </row>
    <row r="136" spans="1:21">
      <c r="A136">
        <v>10447417</v>
      </c>
      <c r="B136">
        <v>4.9435422239947302</v>
      </c>
      <c r="C136">
        <v>2.0738525718964498</v>
      </c>
      <c r="E136" s="2">
        <v>10447417</v>
      </c>
      <c r="F136" t="str">
        <f t="shared" si="3"/>
        <v>Affy 1.0 ST</v>
      </c>
      <c r="G136" t="s">
        <v>1105</v>
      </c>
      <c r="H136" t="str">
        <f>"Msh6"</f>
        <v>Msh6</v>
      </c>
      <c r="I136" t="str">
        <f>"mutS homolog 6 (E. coli)"</f>
        <v>mutS homolog 6 (E. coli)</v>
      </c>
      <c r="O136" s="3" t="e">
        <f>MATCH(A136,'actMatureT&amp;NK'!$A$6:$A$336,0)</f>
        <v>#N/A</v>
      </c>
      <c r="Q136" s="3" t="e">
        <f>MATCH(A136,'actImmT&amp;B'!$A$6:$A$879,0)</f>
        <v>#N/A</v>
      </c>
      <c r="S136" s="3">
        <f>MATCH(A136,'GC-Bcell vs actMatureT&amp;NK,MZ'!$A$6:$A$698,0)</f>
        <v>251</v>
      </c>
      <c r="U136" s="3" t="e">
        <f>MATCH(A136,'GC-Bcell vs actImmatureT&amp;B, MZ'!$A$6:$A$458,0)</f>
        <v>#N/A</v>
      </c>
    </row>
    <row r="137" spans="1:21">
      <c r="A137">
        <v>10393272</v>
      </c>
      <c r="B137">
        <v>4.9402574128505501</v>
      </c>
      <c r="C137">
        <v>1.70822852444826</v>
      </c>
      <c r="E137" s="2">
        <v>10393272</v>
      </c>
      <c r="F137" t="str">
        <f t="shared" si="3"/>
        <v>Affy 1.0 ST</v>
      </c>
      <c r="G137" t="s">
        <v>2201</v>
      </c>
      <c r="H137" t="str">
        <f>"Rnf157"</f>
        <v>Rnf157</v>
      </c>
      <c r="I137" t="str">
        <f>"ring finger protein 157"</f>
        <v>ring finger protein 157</v>
      </c>
      <c r="O137" s="3" t="e">
        <f>MATCH(A137,'actMatureT&amp;NK'!$A$6:$A$336,0)</f>
        <v>#N/A</v>
      </c>
      <c r="Q137" s="3" t="e">
        <f>MATCH(A137,'actImmT&amp;B'!$A$6:$A$879,0)</f>
        <v>#N/A</v>
      </c>
      <c r="S137" s="3" t="e">
        <f>MATCH(A137,'GC-Bcell vs actMatureT&amp;NK,MZ'!$A$6:$A$698,0)</f>
        <v>#N/A</v>
      </c>
      <c r="U137" s="3" t="e">
        <f>MATCH(A137,'GC-Bcell vs actImmatureT&amp;B, MZ'!$A$6:$A$458,0)</f>
        <v>#N/A</v>
      </c>
    </row>
    <row r="138" spans="1:21">
      <c r="A138">
        <v>10362904</v>
      </c>
      <c r="B138">
        <v>4.9364523552162201</v>
      </c>
      <c r="C138">
        <v>1.5009240390347001</v>
      </c>
      <c r="E138" s="2">
        <v>10362904</v>
      </c>
      <c r="F138" t="str">
        <f t="shared" si="3"/>
        <v>Affy 1.0 ST</v>
      </c>
      <c r="G138" t="s">
        <v>1295</v>
      </c>
      <c r="H138" t="str">
        <f>"Rtn4ip1"</f>
        <v>Rtn4ip1</v>
      </c>
      <c r="I138" t="str">
        <f>"reticulon 4 interacting protein 1"</f>
        <v>reticulon 4 interacting protein 1</v>
      </c>
      <c r="O138" s="3" t="e">
        <f>MATCH(A138,'actMatureT&amp;NK'!$A$6:$A$336,0)</f>
        <v>#N/A</v>
      </c>
      <c r="Q138" s="3" t="e">
        <f>MATCH(A138,'actImmT&amp;B'!$A$6:$A$879,0)</f>
        <v>#N/A</v>
      </c>
      <c r="S138" s="3">
        <f>MATCH(A138,'GC-Bcell vs actMatureT&amp;NK,MZ'!$A$6:$A$698,0)</f>
        <v>192</v>
      </c>
      <c r="U138" s="3" t="e">
        <f>MATCH(A138,'GC-Bcell vs actImmatureT&amp;B, MZ'!$A$6:$A$458,0)</f>
        <v>#N/A</v>
      </c>
    </row>
    <row r="139" spans="1:21">
      <c r="A139">
        <v>10396068</v>
      </c>
      <c r="B139">
        <v>4.9071187628397404</v>
      </c>
      <c r="C139">
        <v>0.91505984205656399</v>
      </c>
      <c r="E139" s="2">
        <v>10396068</v>
      </c>
      <c r="F139" t="str">
        <f t="shared" si="3"/>
        <v>Affy 1.0 ST</v>
      </c>
      <c r="G139" t="s">
        <v>2202</v>
      </c>
      <c r="H139" t="str">
        <f>"Ppil5"</f>
        <v>Ppil5</v>
      </c>
      <c r="I139" t="str">
        <f>"peptidylprolyl isomerase (cyclophilin) like 5"</f>
        <v>peptidylprolyl isomerase (cyclophilin) like 5</v>
      </c>
      <c r="O139" s="3">
        <f>MATCH(A139,'actMatureT&amp;NK'!$A$6:$A$336,0)</f>
        <v>218</v>
      </c>
      <c r="Q139" s="3">
        <f>MATCH(A139,'actImmT&amp;B'!$A$6:$A$879,0)</f>
        <v>206</v>
      </c>
      <c r="S139" s="3" t="e">
        <f>MATCH(A139,'GC-Bcell vs actMatureT&amp;NK,MZ'!$A$6:$A$698,0)</f>
        <v>#N/A</v>
      </c>
      <c r="U139" s="3" t="e">
        <f>MATCH(A139,'GC-Bcell vs actImmatureT&amp;B, MZ'!$A$6:$A$458,0)</f>
        <v>#N/A</v>
      </c>
    </row>
    <row r="140" spans="1:21">
      <c r="A140">
        <v>10548086</v>
      </c>
      <c r="B140">
        <v>4.8487295850210499</v>
      </c>
      <c r="C140">
        <v>1.13053792794228</v>
      </c>
      <c r="E140" s="2">
        <v>10548086</v>
      </c>
      <c r="F140" t="str">
        <f t="shared" si="3"/>
        <v>Affy 1.0 ST</v>
      </c>
      <c r="G140" t="s">
        <v>2203</v>
      </c>
      <c r="H140" t="str">
        <f>"Rad51ap1"</f>
        <v>Rad51ap1</v>
      </c>
      <c r="I140" t="str">
        <f>"RAD51 associated protein 1"</f>
        <v>RAD51 associated protein 1</v>
      </c>
      <c r="O140" s="3">
        <f>MATCH(A140,'actMatureT&amp;NK'!$A$6:$A$336,0)</f>
        <v>144</v>
      </c>
      <c r="Q140" s="3">
        <f>MATCH(A140,'actImmT&amp;B'!$A$6:$A$879,0)</f>
        <v>158</v>
      </c>
      <c r="S140" s="3" t="e">
        <f>MATCH(A140,'GC-Bcell vs actMatureT&amp;NK,MZ'!$A$6:$A$698,0)</f>
        <v>#N/A</v>
      </c>
      <c r="U140" s="3" t="e">
        <f>MATCH(A140,'GC-Bcell vs actImmatureT&amp;B, MZ'!$A$6:$A$458,0)</f>
        <v>#N/A</v>
      </c>
    </row>
    <row r="141" spans="1:21">
      <c r="A141">
        <v>10495945</v>
      </c>
      <c r="B141">
        <v>4.8264140729562897</v>
      </c>
      <c r="C141">
        <v>1.2731732623020999</v>
      </c>
      <c r="E141" s="2">
        <v>10495945</v>
      </c>
      <c r="F141" t="str">
        <f t="shared" si="3"/>
        <v>Affy 1.0 ST</v>
      </c>
      <c r="G141" t="s">
        <v>2198</v>
      </c>
      <c r="H141" t="str">
        <f>"4930422G04Rik"</f>
        <v>4930422G04Rik</v>
      </c>
      <c r="I141" t="str">
        <f>"RIKEN cDNA 4930422G04 gene"</f>
        <v>RIKEN cDNA 4930422G04 gene</v>
      </c>
      <c r="O141" s="3">
        <f>MATCH(A141,'actMatureT&amp;NK'!$A$6:$A$336,0)</f>
        <v>196</v>
      </c>
      <c r="Q141" s="3">
        <f>MATCH(A141,'actImmT&amp;B'!$A$6:$A$879,0)</f>
        <v>245</v>
      </c>
      <c r="S141" s="3" t="e">
        <f>MATCH(A141,'GC-Bcell vs actMatureT&amp;NK,MZ'!$A$6:$A$698,0)</f>
        <v>#N/A</v>
      </c>
      <c r="U141" s="3" t="e">
        <f>MATCH(A141,'GC-Bcell vs actImmatureT&amp;B, MZ'!$A$6:$A$458,0)</f>
        <v>#N/A</v>
      </c>
    </row>
    <row r="142" spans="1:21">
      <c r="A142">
        <v>10486255</v>
      </c>
      <c r="B142">
        <v>4.7719375673286004</v>
      </c>
      <c r="C142">
        <v>1.03514132944029</v>
      </c>
      <c r="E142" s="2">
        <v>10486255</v>
      </c>
      <c r="F142" t="str">
        <f t="shared" si="3"/>
        <v>Affy 1.0 ST</v>
      </c>
      <c r="G142" t="s">
        <v>2204</v>
      </c>
      <c r="H142" t="str">
        <f>"Oip5"</f>
        <v>Oip5</v>
      </c>
      <c r="I142" t="str">
        <f>"Opa interacting protein 5"</f>
        <v>Opa interacting protein 5</v>
      </c>
      <c r="O142" s="3" t="e">
        <f>MATCH(A142,'actMatureT&amp;NK'!$A$6:$A$336,0)</f>
        <v>#N/A</v>
      </c>
      <c r="Q142" s="3">
        <f>MATCH(A142,'actImmT&amp;B'!$A$6:$A$879,0)</f>
        <v>170</v>
      </c>
      <c r="S142" s="3" t="e">
        <f>MATCH(A142,'GC-Bcell vs actMatureT&amp;NK,MZ'!$A$6:$A$698,0)</f>
        <v>#N/A</v>
      </c>
      <c r="U142" s="3" t="e">
        <f>MATCH(A142,'GC-Bcell vs actImmatureT&amp;B, MZ'!$A$6:$A$458,0)</f>
        <v>#N/A</v>
      </c>
    </row>
    <row r="143" spans="1:21">
      <c r="A143">
        <v>10518561</v>
      </c>
      <c r="B143">
        <v>4.7354963884670198</v>
      </c>
      <c r="C143">
        <v>0.89692400615579204</v>
      </c>
      <c r="E143" s="2">
        <v>10518561</v>
      </c>
      <c r="F143" t="str">
        <f t="shared" si="3"/>
        <v>Affy 1.0 ST</v>
      </c>
      <c r="G143" t="s">
        <v>1114</v>
      </c>
      <c r="H143" t="str">
        <f>"Apitd1"</f>
        <v>Apitd1</v>
      </c>
      <c r="I143" t="s">
        <v>2181</v>
      </c>
      <c r="O143" s="3">
        <f>MATCH(A143,'actMatureT&amp;NK'!$A$6:$A$336,0)</f>
        <v>254</v>
      </c>
      <c r="Q143" s="3" t="e">
        <f>MATCH(A143,'actImmT&amp;B'!$A$6:$A$879,0)</f>
        <v>#N/A</v>
      </c>
      <c r="S143" s="3">
        <f>MATCH(A143,'GC-Bcell vs actMatureT&amp;NK,MZ'!$A$6:$A$698,0)</f>
        <v>254</v>
      </c>
      <c r="U143" s="3" t="e">
        <f>MATCH(A143,'GC-Bcell vs actImmatureT&amp;B, MZ'!$A$6:$A$458,0)</f>
        <v>#N/A</v>
      </c>
    </row>
    <row r="144" spans="1:21">
      <c r="A144">
        <v>10345546</v>
      </c>
      <c r="B144">
        <v>4.6915556088300496</v>
      </c>
      <c r="C144">
        <v>0.97283437576597998</v>
      </c>
      <c r="E144" s="2">
        <v>10345546</v>
      </c>
      <c r="F144" t="str">
        <f t="shared" si="3"/>
        <v>Affy 1.0 ST</v>
      </c>
      <c r="G144" t="s">
        <v>1612</v>
      </c>
      <c r="H144" t="str">
        <f>"Vwa3b"</f>
        <v>Vwa3b</v>
      </c>
      <c r="I144" t="str">
        <f>"von Willebrand factor A domain containing 3B"</f>
        <v>von Willebrand factor A domain containing 3B</v>
      </c>
      <c r="O144" s="3" t="e">
        <f>MATCH(A144,'actMatureT&amp;NK'!$A$6:$A$336,0)</f>
        <v>#N/A</v>
      </c>
      <c r="Q144" s="3" t="e">
        <f>MATCH(A144,'actImmT&amp;B'!$A$6:$A$879,0)</f>
        <v>#N/A</v>
      </c>
      <c r="S144" s="3">
        <f>MATCH(A144,'GC-Bcell vs actMatureT&amp;NK,MZ'!$A$6:$A$698,0)</f>
        <v>121</v>
      </c>
      <c r="U144" s="3">
        <f>MATCH(A144,'GC-Bcell vs actImmatureT&amp;B, MZ'!$A$6:$A$458,0)</f>
        <v>66</v>
      </c>
    </row>
    <row r="145" spans="1:21">
      <c r="A145">
        <v>10591369</v>
      </c>
      <c r="B145">
        <v>4.6515082552638898</v>
      </c>
      <c r="C145">
        <v>1.81337404317119</v>
      </c>
      <c r="E145" s="2">
        <v>10591369</v>
      </c>
      <c r="F145" t="str">
        <f t="shared" si="3"/>
        <v>Affy 1.0 ST</v>
      </c>
      <c r="G145" t="s">
        <v>2205</v>
      </c>
      <c r="H145" t="str">
        <f>"Dnmt1"</f>
        <v>Dnmt1</v>
      </c>
      <c r="I145" t="str">
        <f>"DNA methyltransferase (cytosine-5) 1"</f>
        <v>DNA methyltransferase (cytosine-5) 1</v>
      </c>
      <c r="O145" s="3" t="e">
        <f>MATCH(A145,'actMatureT&amp;NK'!$A$6:$A$336,0)</f>
        <v>#N/A</v>
      </c>
      <c r="Q145" s="3">
        <f>MATCH(A145,'actImmT&amp;B'!$A$6:$A$879,0)</f>
        <v>274</v>
      </c>
      <c r="S145" s="3" t="e">
        <f>MATCH(A145,'GC-Bcell vs actMatureT&amp;NK,MZ'!$A$6:$A$698,0)</f>
        <v>#N/A</v>
      </c>
      <c r="U145" s="3" t="e">
        <f>MATCH(A145,'GC-Bcell vs actImmatureT&amp;B, MZ'!$A$6:$A$458,0)</f>
        <v>#N/A</v>
      </c>
    </row>
    <row r="146" spans="1:21">
      <c r="A146">
        <v>10412559</v>
      </c>
      <c r="B146">
        <v>4.6352685048750404</v>
      </c>
      <c r="C146">
        <v>1.4882373646873901</v>
      </c>
      <c r="E146" s="2">
        <v>10412559</v>
      </c>
      <c r="F146" t="str">
        <f t="shared" si="3"/>
        <v>Affy 1.0 ST</v>
      </c>
      <c r="G146" t="s">
        <v>2206</v>
      </c>
      <c r="H146" t="str">
        <f>"Slbp"</f>
        <v>Slbp</v>
      </c>
      <c r="I146" t="str">
        <f>"stem-loop binding protein"</f>
        <v>stem-loop binding protein</v>
      </c>
      <c r="O146" s="3" t="e">
        <f>MATCH(A146,'actMatureT&amp;NK'!$A$6:$A$336,0)</f>
        <v>#N/A</v>
      </c>
      <c r="Q146" s="3">
        <f>MATCH(A146,'actImmT&amp;B'!$A$6:$A$879,0)</f>
        <v>193</v>
      </c>
      <c r="S146" s="3" t="e">
        <f>MATCH(A146,'GC-Bcell vs actMatureT&amp;NK,MZ'!$A$6:$A$698,0)</f>
        <v>#N/A</v>
      </c>
      <c r="U146" s="3" t="e">
        <f>MATCH(A146,'GC-Bcell vs actImmatureT&amp;B, MZ'!$A$6:$A$458,0)</f>
        <v>#N/A</v>
      </c>
    </row>
    <row r="147" spans="1:21">
      <c r="A147">
        <v>10478355</v>
      </c>
      <c r="B147">
        <v>4.5810012052252898</v>
      </c>
      <c r="C147">
        <v>1.0050511993323299</v>
      </c>
      <c r="E147" s="2">
        <v>10478355</v>
      </c>
      <c r="F147" t="str">
        <f t="shared" si="3"/>
        <v>Affy 1.0 ST</v>
      </c>
      <c r="G147" t="s">
        <v>2207</v>
      </c>
      <c r="H147" t="str">
        <f>"Mybl2"</f>
        <v>Mybl2</v>
      </c>
      <c r="I147" t="str">
        <f>"myeloblastosis oncogene-like 2"</f>
        <v>myeloblastosis oncogene-like 2</v>
      </c>
      <c r="O147" s="3">
        <f>MATCH(A147,'actMatureT&amp;NK'!$A$6:$A$336,0)</f>
        <v>158</v>
      </c>
      <c r="Q147" s="3">
        <f>MATCH(A147,'actImmT&amp;B'!$A$6:$A$879,0)</f>
        <v>279</v>
      </c>
      <c r="S147" s="3" t="e">
        <f>MATCH(A147,'GC-Bcell vs actMatureT&amp;NK,MZ'!$A$6:$A$698,0)</f>
        <v>#N/A</v>
      </c>
      <c r="U147" s="3" t="e">
        <f>MATCH(A147,'GC-Bcell vs actImmatureT&amp;B, MZ'!$A$6:$A$458,0)</f>
        <v>#N/A</v>
      </c>
    </row>
    <row r="148" spans="1:21">
      <c r="A148">
        <v>10409190</v>
      </c>
      <c r="B148">
        <v>4.5752508997956598</v>
      </c>
      <c r="C148">
        <v>1.0748930631368601</v>
      </c>
      <c r="E148" s="2">
        <v>10409190</v>
      </c>
      <c r="F148" t="str">
        <f t="shared" si="3"/>
        <v>Affy 1.0 ST</v>
      </c>
      <c r="G148" t="s">
        <v>2208</v>
      </c>
      <c r="H148" t="str">
        <f>"Cenpp"</f>
        <v>Cenpp</v>
      </c>
      <c r="I148" t="str">
        <f>"centromere protein P"</f>
        <v>centromere protein P</v>
      </c>
      <c r="O148" s="3">
        <f>MATCH(A148,'actMatureT&amp;NK'!$A$6:$A$336,0)</f>
        <v>229</v>
      </c>
      <c r="Q148" s="3">
        <f>MATCH(A148,'actImmT&amp;B'!$A$6:$A$879,0)</f>
        <v>137</v>
      </c>
      <c r="S148" s="3" t="e">
        <f>MATCH(A148,'GC-Bcell vs actMatureT&amp;NK,MZ'!$A$6:$A$698,0)</f>
        <v>#N/A</v>
      </c>
      <c r="U148" s="3" t="e">
        <f>MATCH(A148,'GC-Bcell vs actImmatureT&amp;B, MZ'!$A$6:$A$458,0)</f>
        <v>#N/A</v>
      </c>
    </row>
    <row r="149" spans="1:21">
      <c r="A149">
        <v>10514158</v>
      </c>
      <c r="B149">
        <v>4.5716210196678304</v>
      </c>
      <c r="C149">
        <v>2.29207171746059</v>
      </c>
      <c r="E149" s="2">
        <v>10514158</v>
      </c>
      <c r="F149" t="str">
        <f t="shared" si="3"/>
        <v>Affy 1.0 ST</v>
      </c>
      <c r="G149" t="s">
        <v>934</v>
      </c>
      <c r="H149" t="str">
        <f>"Psip1"</f>
        <v>Psip1</v>
      </c>
      <c r="I149" t="str">
        <f>"PC4 and SFRS1 interacting protein 1"</f>
        <v>PC4 and SFRS1 interacting protein 1</v>
      </c>
      <c r="O149" s="3" t="e">
        <f>MATCH(A149,'actMatureT&amp;NK'!$A$6:$A$336,0)</f>
        <v>#N/A</v>
      </c>
      <c r="Q149" s="3">
        <f>MATCH(A149,'actImmT&amp;B'!$A$6:$A$879,0)</f>
        <v>547</v>
      </c>
      <c r="S149" s="3">
        <f>MATCH(A149,'GC-Bcell vs actMatureT&amp;NK,MZ'!$A$6:$A$698,0)</f>
        <v>316</v>
      </c>
      <c r="U149" s="3" t="e">
        <f>MATCH(A149,'GC-Bcell vs actImmatureT&amp;B, MZ'!$A$6:$A$458,0)</f>
        <v>#N/A</v>
      </c>
    </row>
    <row r="150" spans="1:21">
      <c r="A150">
        <v>10524790</v>
      </c>
      <c r="B150">
        <v>4.5599896526944104</v>
      </c>
      <c r="C150">
        <v>1.4072212007821501</v>
      </c>
      <c r="E150" s="2">
        <v>10524790</v>
      </c>
      <c r="F150" t="str">
        <f t="shared" si="3"/>
        <v>Affy 1.0 ST</v>
      </c>
      <c r="G150" t="s">
        <v>2209</v>
      </c>
      <c r="H150" t="str">
        <f>"Cit"</f>
        <v>Cit</v>
      </c>
      <c r="I150" t="str">
        <f>"citron"</f>
        <v>citron</v>
      </c>
      <c r="O150" s="3">
        <f>MATCH(A150,'actMatureT&amp;NK'!$A$6:$A$336,0)</f>
        <v>141</v>
      </c>
      <c r="Q150" s="3">
        <f>MATCH(A150,'actImmT&amp;B'!$A$6:$A$879,0)</f>
        <v>149</v>
      </c>
      <c r="S150" s="3" t="e">
        <f>MATCH(A150,'GC-Bcell vs actMatureT&amp;NK,MZ'!$A$6:$A$698,0)</f>
        <v>#N/A</v>
      </c>
      <c r="U150" s="3" t="e">
        <f>MATCH(A150,'GC-Bcell vs actImmatureT&amp;B, MZ'!$A$6:$A$458,0)</f>
        <v>#N/A</v>
      </c>
    </row>
    <row r="151" spans="1:21">
      <c r="A151">
        <v>10475610</v>
      </c>
      <c r="B151">
        <v>4.5059671874423497</v>
      </c>
      <c r="C151">
        <v>1.27731829005836</v>
      </c>
      <c r="E151" s="2">
        <v>10475610</v>
      </c>
      <c r="F151" t="str">
        <f t="shared" si="3"/>
        <v>Affy 1.0 ST</v>
      </c>
      <c r="G151" t="s">
        <v>2210</v>
      </c>
      <c r="H151" t="str">
        <f>"Dut"</f>
        <v>Dut</v>
      </c>
      <c r="I151" t="str">
        <f>"deoxyuridine triphosphatase"</f>
        <v>deoxyuridine triphosphatase</v>
      </c>
      <c r="O151" s="3" t="e">
        <f>MATCH(A151,'actMatureT&amp;NK'!$A$6:$A$336,0)</f>
        <v>#N/A</v>
      </c>
      <c r="Q151" s="3">
        <f>MATCH(A151,'actImmT&amp;B'!$A$6:$A$879,0)</f>
        <v>387</v>
      </c>
      <c r="S151" s="3" t="e">
        <f>MATCH(A151,'GC-Bcell vs actMatureT&amp;NK,MZ'!$A$6:$A$698,0)</f>
        <v>#N/A</v>
      </c>
      <c r="U151" s="3" t="e">
        <f>MATCH(A151,'GC-Bcell vs actImmatureT&amp;B, MZ'!$A$6:$A$458,0)</f>
        <v>#N/A</v>
      </c>
    </row>
    <row r="152" spans="1:21">
      <c r="A152">
        <v>10397818</v>
      </c>
      <c r="B152">
        <v>4.49441236599574</v>
      </c>
      <c r="C152">
        <v>1.2538693565010399</v>
      </c>
      <c r="E152" s="2">
        <v>10397818</v>
      </c>
      <c r="F152" t="str">
        <f t="shared" si="3"/>
        <v>Affy 1.0 ST</v>
      </c>
      <c r="G152" t="s">
        <v>1190</v>
      </c>
      <c r="H152" t="str">
        <f>"Cpsf2"</f>
        <v>Cpsf2</v>
      </c>
      <c r="I152" t="str">
        <f>"cleavage and polyadenylation specific factor 2"</f>
        <v>cleavage and polyadenylation specific factor 2</v>
      </c>
      <c r="O152" s="3" t="e">
        <f>MATCH(A152,'actMatureT&amp;NK'!$A$6:$A$336,0)</f>
        <v>#N/A</v>
      </c>
      <c r="Q152" s="3" t="e">
        <f>MATCH(A152,'actImmT&amp;B'!$A$6:$A$879,0)</f>
        <v>#N/A</v>
      </c>
      <c r="S152" s="3">
        <f>MATCH(A152,'GC-Bcell vs actMatureT&amp;NK,MZ'!$A$6:$A$698,0)</f>
        <v>279</v>
      </c>
      <c r="U152" s="3" t="e">
        <f>MATCH(A152,'GC-Bcell vs actImmatureT&amp;B, MZ'!$A$6:$A$458,0)</f>
        <v>#N/A</v>
      </c>
    </row>
    <row r="153" spans="1:21">
      <c r="A153">
        <v>10529299</v>
      </c>
      <c r="B153">
        <v>4.4852437924804702</v>
      </c>
      <c r="C153">
        <v>1.31964154448287</v>
      </c>
      <c r="E153" s="2">
        <v>10529299</v>
      </c>
      <c r="F153" t="str">
        <f t="shared" si="3"/>
        <v>Affy 1.0 ST</v>
      </c>
      <c r="G153" t="s">
        <v>2206</v>
      </c>
      <c r="H153" t="str">
        <f>"Slbp"</f>
        <v>Slbp</v>
      </c>
      <c r="I153" t="str">
        <f>"stem-loop binding protein"</f>
        <v>stem-loop binding protein</v>
      </c>
      <c r="O153" s="3" t="e">
        <f>MATCH(A153,'actMatureT&amp;NK'!$A$6:$A$336,0)</f>
        <v>#N/A</v>
      </c>
      <c r="Q153" s="3">
        <f>MATCH(A153,'actImmT&amp;B'!$A$6:$A$879,0)</f>
        <v>185</v>
      </c>
      <c r="S153" s="3" t="e">
        <f>MATCH(A153,'GC-Bcell vs actMatureT&amp;NK,MZ'!$A$6:$A$698,0)</f>
        <v>#N/A</v>
      </c>
      <c r="U153" s="3" t="e">
        <f>MATCH(A153,'GC-Bcell vs actImmatureT&amp;B, MZ'!$A$6:$A$458,0)</f>
        <v>#N/A</v>
      </c>
    </row>
    <row r="154" spans="1:21">
      <c r="A154">
        <v>10503315</v>
      </c>
      <c r="B154">
        <v>4.4642439779065004</v>
      </c>
      <c r="C154">
        <v>1.22230354647288</v>
      </c>
      <c r="E154" s="2">
        <v>10503315</v>
      </c>
      <c r="F154" t="str">
        <f t="shared" si="3"/>
        <v>Affy 1.0 ST</v>
      </c>
      <c r="G154" t="s">
        <v>2211</v>
      </c>
      <c r="H154" t="str">
        <f>"Rad54b"</f>
        <v>Rad54b</v>
      </c>
      <c r="I154" t="str">
        <f>"RAD54 homolog B (S. cerevisiae)"</f>
        <v>RAD54 homolog B (S. cerevisiae)</v>
      </c>
      <c r="O154" s="3">
        <f>MATCH(A154,'actMatureT&amp;NK'!$A$6:$A$336,0)</f>
        <v>168</v>
      </c>
      <c r="Q154" s="3">
        <f>MATCH(A154,'actImmT&amp;B'!$A$6:$A$879,0)</f>
        <v>195</v>
      </c>
      <c r="S154" s="3" t="e">
        <f>MATCH(A154,'GC-Bcell vs actMatureT&amp;NK,MZ'!$A$6:$A$698,0)</f>
        <v>#N/A</v>
      </c>
      <c r="U154" s="3" t="e">
        <f>MATCH(A154,'GC-Bcell vs actImmatureT&amp;B, MZ'!$A$6:$A$458,0)</f>
        <v>#N/A</v>
      </c>
    </row>
    <row r="155" spans="1:21">
      <c r="A155">
        <v>10392983</v>
      </c>
      <c r="B155">
        <v>4.4539383336584102</v>
      </c>
      <c r="C155">
        <v>1.15459759894539</v>
      </c>
      <c r="E155" s="2">
        <v>10392983</v>
      </c>
      <c r="F155" t="str">
        <f t="shared" si="3"/>
        <v>Affy 1.0 ST</v>
      </c>
      <c r="G155" t="s">
        <v>1381</v>
      </c>
      <c r="H155" t="str">
        <f>"Slc25a19"</f>
        <v>Slc25a19</v>
      </c>
      <c r="I155" t="s">
        <v>2182</v>
      </c>
      <c r="O155" s="3" t="e">
        <f>MATCH(A155,'actMatureT&amp;NK'!$A$6:$A$336,0)</f>
        <v>#N/A</v>
      </c>
      <c r="Q155" s="3" t="e">
        <f>MATCH(A155,'actImmT&amp;B'!$A$6:$A$879,0)</f>
        <v>#N/A</v>
      </c>
      <c r="S155" s="3">
        <f>MATCH(A155,'GC-Bcell vs actMatureT&amp;NK,MZ'!$A$6:$A$698,0)</f>
        <v>160</v>
      </c>
      <c r="U155" s="3">
        <f>MATCH(A155,'GC-Bcell vs actImmatureT&amp;B, MZ'!$A$6:$A$458,0)</f>
        <v>131</v>
      </c>
    </row>
    <row r="156" spans="1:21">
      <c r="A156">
        <v>10449575</v>
      </c>
      <c r="B156">
        <v>4.4284817778906298</v>
      </c>
      <c r="C156">
        <v>1.35861066226506</v>
      </c>
      <c r="E156" s="2">
        <v>10449575</v>
      </c>
      <c r="F156" t="str">
        <f t="shared" si="3"/>
        <v>Affy 1.0 ST</v>
      </c>
      <c r="G156" t="s">
        <v>2212</v>
      </c>
      <c r="H156" t="str">
        <f>"Ppil1"</f>
        <v>Ppil1</v>
      </c>
      <c r="I156" t="str">
        <f>"peptidylprolyl isomerase (cyclophilin)-like 1"</f>
        <v>peptidylprolyl isomerase (cyclophilin)-like 1</v>
      </c>
      <c r="O156" s="3" t="e">
        <f>MATCH(A156,'actMatureT&amp;NK'!$A$6:$A$336,0)</f>
        <v>#N/A</v>
      </c>
      <c r="Q156" s="3" t="e">
        <f>MATCH(A156,'actImmT&amp;B'!$A$6:$A$879,0)</f>
        <v>#N/A</v>
      </c>
      <c r="S156" s="3" t="e">
        <f>MATCH(A156,'GC-Bcell vs actMatureT&amp;NK,MZ'!$A$6:$A$698,0)</f>
        <v>#N/A</v>
      </c>
      <c r="U156" s="3" t="e">
        <f>MATCH(A156,'GC-Bcell vs actImmatureT&amp;B, MZ'!$A$6:$A$458,0)</f>
        <v>#N/A</v>
      </c>
    </row>
    <row r="157" spans="1:21">
      <c r="A157">
        <v>10366293</v>
      </c>
      <c r="B157">
        <v>4.4037887098635604</v>
      </c>
      <c r="C157">
        <v>1.0670232374922399</v>
      </c>
      <c r="E157" s="2">
        <v>10366293</v>
      </c>
      <c r="F157" t="str">
        <f t="shared" si="3"/>
        <v>Affy 1.0 ST</v>
      </c>
      <c r="G157" t="s">
        <v>1420</v>
      </c>
      <c r="H157" t="str">
        <f>"Csrp2"</f>
        <v>Csrp2</v>
      </c>
      <c r="I157" t="str">
        <f>"cysteine and glycine-rich protein 2"</f>
        <v>cysteine and glycine-rich protein 2</v>
      </c>
      <c r="O157" s="3" t="e">
        <f>MATCH(A157,'actMatureT&amp;NK'!$A$6:$A$336,0)</f>
        <v>#N/A</v>
      </c>
      <c r="Q157" s="3" t="e">
        <f>MATCH(A157,'actImmT&amp;B'!$A$6:$A$879,0)</f>
        <v>#N/A</v>
      </c>
      <c r="S157" s="3">
        <f>MATCH(A157,'GC-Bcell vs actMatureT&amp;NK,MZ'!$A$6:$A$698,0)</f>
        <v>112</v>
      </c>
      <c r="U157" s="3" t="e">
        <f>MATCH(A157,'GC-Bcell vs actImmatureT&amp;B, MZ'!$A$6:$A$458,0)</f>
        <v>#N/A</v>
      </c>
    </row>
    <row r="158" spans="1:21">
      <c r="A158">
        <v>10392415</v>
      </c>
      <c r="B158">
        <v>4.3763921021852301</v>
      </c>
      <c r="C158">
        <v>0.70128466258543098</v>
      </c>
      <c r="E158" s="2">
        <v>10392415</v>
      </c>
      <c r="F158" t="str">
        <f t="shared" si="3"/>
        <v>Affy 1.0 ST</v>
      </c>
      <c r="G158" t="s">
        <v>1347</v>
      </c>
      <c r="H158" t="str">
        <f>"Rgs9"</f>
        <v>Rgs9</v>
      </c>
      <c r="I158" t="str">
        <f>"regulator of G-protein signaling 9"</f>
        <v>regulator of G-protein signaling 9</v>
      </c>
      <c r="O158" s="3" t="e">
        <f>MATCH(A158,'actMatureT&amp;NK'!$A$6:$A$336,0)</f>
        <v>#N/A</v>
      </c>
      <c r="Q158" s="3" t="e">
        <f>MATCH(A158,'actImmT&amp;B'!$A$6:$A$879,0)</f>
        <v>#N/A</v>
      </c>
      <c r="S158" s="3">
        <f>MATCH(A158,'GC-Bcell vs actMatureT&amp;NK,MZ'!$A$6:$A$698,0)</f>
        <v>149</v>
      </c>
      <c r="U158" s="3">
        <f>MATCH(A158,'GC-Bcell vs actImmatureT&amp;B, MZ'!$A$6:$A$458,0)</f>
        <v>104</v>
      </c>
    </row>
    <row r="159" spans="1:21">
      <c r="A159">
        <v>10435581</v>
      </c>
      <c r="B159">
        <v>4.3762763249899796</v>
      </c>
      <c r="C159">
        <v>1.1020220738244799</v>
      </c>
      <c r="E159" s="2">
        <v>10435581</v>
      </c>
      <c r="F159" t="str">
        <f t="shared" si="3"/>
        <v>Affy 1.0 ST</v>
      </c>
      <c r="G159" t="s">
        <v>2213</v>
      </c>
      <c r="H159" t="str">
        <f>"Polq"</f>
        <v>Polq</v>
      </c>
      <c r="I159" t="s">
        <v>2183</v>
      </c>
      <c r="O159" s="3">
        <f>MATCH(A159,'actMatureT&amp;NK'!$A$6:$A$336,0)</f>
        <v>202</v>
      </c>
      <c r="Q159" s="3">
        <f>MATCH(A159,'actImmT&amp;B'!$A$6:$A$879,0)</f>
        <v>178</v>
      </c>
      <c r="S159" s="3" t="e">
        <f>MATCH(A159,'GC-Bcell vs actMatureT&amp;NK,MZ'!$A$6:$A$698,0)</f>
        <v>#N/A</v>
      </c>
      <c r="U159" s="3" t="e">
        <f>MATCH(A159,'GC-Bcell vs actImmatureT&amp;B, MZ'!$A$6:$A$458,0)</f>
        <v>#N/A</v>
      </c>
    </row>
    <row r="160" spans="1:21">
      <c r="A160">
        <v>10594911</v>
      </c>
      <c r="B160">
        <v>4.3451686888405501</v>
      </c>
      <c r="C160">
        <v>1.62962656364254</v>
      </c>
      <c r="E160" s="2">
        <v>10594911</v>
      </c>
      <c r="F160" t="str">
        <f t="shared" si="3"/>
        <v>Affy 1.0 ST</v>
      </c>
      <c r="G160" t="s">
        <v>1570</v>
      </c>
      <c r="H160" t="str">
        <f>"Tex9"</f>
        <v>Tex9</v>
      </c>
      <c r="I160" t="str">
        <f>"testis expressed gene 9"</f>
        <v>testis expressed gene 9</v>
      </c>
      <c r="O160" s="3" t="e">
        <f>MATCH(A160,'actMatureT&amp;NK'!$A$6:$A$336,0)</f>
        <v>#N/A</v>
      </c>
      <c r="Q160" s="3" t="e">
        <f>MATCH(A160,'actImmT&amp;B'!$A$6:$A$879,0)</f>
        <v>#N/A</v>
      </c>
      <c r="S160" s="3">
        <f>MATCH(A160,'GC-Bcell vs actMatureT&amp;NK,MZ'!$A$6:$A$698,0)</f>
        <v>170</v>
      </c>
      <c r="U160" s="3" t="e">
        <f>MATCH(A160,'GC-Bcell vs actImmatureT&amp;B, MZ'!$A$6:$A$458,0)</f>
        <v>#N/A</v>
      </c>
    </row>
    <row r="161" spans="1:21">
      <c r="A161">
        <v>10526502</v>
      </c>
      <c r="B161">
        <v>4.2368933877799204</v>
      </c>
      <c r="C161">
        <v>1.47216847730762</v>
      </c>
      <c r="E161" s="2">
        <v>10526502</v>
      </c>
      <c r="F161" t="str">
        <f t="shared" si="3"/>
        <v>Affy 1.0 ST</v>
      </c>
      <c r="G161" t="s">
        <v>1639</v>
      </c>
      <c r="H161" t="str">
        <f>"Rabl5"</f>
        <v>Rabl5</v>
      </c>
      <c r="I161" t="s">
        <v>2184</v>
      </c>
      <c r="O161" s="3" t="e">
        <f>MATCH(A161,'actMatureT&amp;NK'!$A$6:$A$336,0)</f>
        <v>#N/A</v>
      </c>
      <c r="Q161" s="3" t="e">
        <f>MATCH(A161,'actImmT&amp;B'!$A$6:$A$879,0)</f>
        <v>#N/A</v>
      </c>
      <c r="S161" s="3">
        <f>MATCH(A161,'GC-Bcell vs actMatureT&amp;NK,MZ'!$A$6:$A$698,0)</f>
        <v>131</v>
      </c>
      <c r="U161" s="3" t="e">
        <f>MATCH(A161,'GC-Bcell vs actImmatureT&amp;B, MZ'!$A$6:$A$458,0)</f>
        <v>#N/A</v>
      </c>
    </row>
    <row r="162" spans="1:21">
      <c r="A162">
        <v>10349637</v>
      </c>
      <c r="B162">
        <v>4.2297536209749902</v>
      </c>
      <c r="C162">
        <v>0.82693020314913901</v>
      </c>
      <c r="E162" s="2">
        <v>10349637</v>
      </c>
      <c r="F162" t="str">
        <f t="shared" si="3"/>
        <v>Affy 1.0 ST</v>
      </c>
      <c r="G162" t="s">
        <v>1440</v>
      </c>
      <c r="H162" t="str">
        <f>"Fam72a"</f>
        <v>Fam72a</v>
      </c>
      <c r="I162" t="s">
        <v>2064</v>
      </c>
      <c r="O162" s="3" t="e">
        <f>MATCH(A162,'actMatureT&amp;NK'!$A$6:$A$336,0)</f>
        <v>#N/A</v>
      </c>
      <c r="Q162" s="3">
        <f>MATCH(A162,'actImmT&amp;B'!$A$6:$A$879,0)</f>
        <v>227</v>
      </c>
      <c r="S162" s="3">
        <f>MATCH(A162,'GC-Bcell vs actMatureT&amp;NK,MZ'!$A$6:$A$698,0)</f>
        <v>185</v>
      </c>
      <c r="U162" s="3" t="e">
        <f>MATCH(A162,'GC-Bcell vs actImmatureT&amp;B, MZ'!$A$6:$A$458,0)</f>
        <v>#N/A</v>
      </c>
    </row>
    <row r="163" spans="1:21">
      <c r="A163">
        <v>10365833</v>
      </c>
      <c r="B163">
        <v>4.1680101751535004</v>
      </c>
      <c r="C163">
        <v>0.59945578405613098</v>
      </c>
      <c r="E163" s="2">
        <v>10365833</v>
      </c>
      <c r="F163" t="str">
        <f t="shared" si="3"/>
        <v>Affy 1.0 ST</v>
      </c>
      <c r="G163" t="s">
        <v>1397</v>
      </c>
      <c r="H163" t="str">
        <f>"Usp44"</f>
        <v>Usp44</v>
      </c>
      <c r="I163" t="str">
        <f>"ubiquitin specific peptidase 44"</f>
        <v>ubiquitin specific peptidase 44</v>
      </c>
      <c r="O163" s="3" t="e">
        <f>MATCH(A163,'actMatureT&amp;NK'!$A$6:$A$336,0)</f>
        <v>#N/A</v>
      </c>
      <c r="Q163" s="3" t="e">
        <f>MATCH(A163,'actImmT&amp;B'!$A$6:$A$879,0)</f>
        <v>#N/A</v>
      </c>
      <c r="S163" s="3">
        <f>MATCH(A163,'GC-Bcell vs actMatureT&amp;NK,MZ'!$A$6:$A$698,0)</f>
        <v>168</v>
      </c>
      <c r="U163" s="3" t="e">
        <f>MATCH(A163,'GC-Bcell vs actImmatureT&amp;B, MZ'!$A$6:$A$458,0)</f>
        <v>#N/A</v>
      </c>
    </row>
    <row r="164" spans="1:21">
      <c r="A164">
        <v>10428763</v>
      </c>
      <c r="B164">
        <v>4.1239699840145496</v>
      </c>
      <c r="C164">
        <v>1.67604919008066</v>
      </c>
      <c r="E164" s="2">
        <v>10428763</v>
      </c>
      <c r="F164" t="str">
        <f t="shared" si="3"/>
        <v>Affy 1.0 ST</v>
      </c>
      <c r="G164" t="s">
        <v>2214</v>
      </c>
      <c r="H164" t="str">
        <f>"Atad2"</f>
        <v>Atad2</v>
      </c>
      <c r="I164" t="s">
        <v>2065</v>
      </c>
      <c r="O164" s="3">
        <f>MATCH(A164,'actMatureT&amp;NK'!$A$6:$A$336,0)</f>
        <v>192</v>
      </c>
      <c r="Q164" s="3">
        <f>MATCH(A164,'actImmT&amp;B'!$A$6:$A$879,0)</f>
        <v>179</v>
      </c>
      <c r="S164" s="3" t="e">
        <f>MATCH(A164,'GC-Bcell vs actMatureT&amp;NK,MZ'!$A$6:$A$698,0)</f>
        <v>#N/A</v>
      </c>
      <c r="U164" s="3" t="e">
        <f>MATCH(A164,'GC-Bcell vs actImmatureT&amp;B, MZ'!$A$6:$A$458,0)</f>
        <v>#N/A</v>
      </c>
    </row>
    <row r="165" spans="1:21">
      <c r="A165">
        <v>10444312</v>
      </c>
      <c r="B165">
        <v>4.0493779308678102</v>
      </c>
      <c r="C165">
        <v>0.93413039103473605</v>
      </c>
      <c r="E165" s="2">
        <v>10444312</v>
      </c>
      <c r="F165" t="str">
        <f t="shared" si="3"/>
        <v>Affy 1.0 ST</v>
      </c>
      <c r="G165" t="s">
        <v>1394</v>
      </c>
      <c r="H165" t="str">
        <f>"Btnl2"</f>
        <v>Btnl2</v>
      </c>
      <c r="I165" t="str">
        <f>"butyrophilin-like 2"</f>
        <v>butyrophilin-like 2</v>
      </c>
      <c r="O165" s="3" t="e">
        <f>MATCH(A165,'actMatureT&amp;NK'!$A$6:$A$336,0)</f>
        <v>#N/A</v>
      </c>
      <c r="Q165" s="3" t="e">
        <f>MATCH(A165,'actImmT&amp;B'!$A$6:$A$879,0)</f>
        <v>#N/A</v>
      </c>
      <c r="S165" s="3">
        <f>MATCH(A165,'GC-Bcell vs actMatureT&amp;NK,MZ'!$A$6:$A$698,0)</f>
        <v>167</v>
      </c>
      <c r="U165" s="3">
        <f>MATCH(A165,'GC-Bcell vs actImmatureT&amp;B, MZ'!$A$6:$A$458,0)</f>
        <v>106</v>
      </c>
    </row>
    <row r="166" spans="1:21">
      <c r="A166">
        <v>10489078</v>
      </c>
      <c r="B166">
        <v>4.0479413575348202</v>
      </c>
      <c r="C166">
        <v>1.15878334349511</v>
      </c>
      <c r="E166" s="2">
        <v>10489078</v>
      </c>
      <c r="F166" t="str">
        <f t="shared" si="3"/>
        <v>Affy 1.0 ST</v>
      </c>
      <c r="G166" t="s">
        <v>2215</v>
      </c>
      <c r="H166" t="str">
        <f>"Dsn1"</f>
        <v>Dsn1</v>
      </c>
      <c r="I166" t="s">
        <v>2066</v>
      </c>
      <c r="O166" s="3" t="e">
        <f>MATCH(A166,'actMatureT&amp;NK'!$A$6:$A$336,0)</f>
        <v>#N/A</v>
      </c>
      <c r="Q166" s="3">
        <f>MATCH(A166,'actImmT&amp;B'!$A$6:$A$879,0)</f>
        <v>173</v>
      </c>
      <c r="S166" s="3" t="e">
        <f>MATCH(A166,'GC-Bcell vs actMatureT&amp;NK,MZ'!$A$6:$A$698,0)</f>
        <v>#N/A</v>
      </c>
      <c r="U166" s="3" t="e">
        <f>MATCH(A166,'GC-Bcell vs actImmatureT&amp;B, MZ'!$A$6:$A$458,0)</f>
        <v>#N/A</v>
      </c>
    </row>
    <row r="167" spans="1:21">
      <c r="A167">
        <v>10382257</v>
      </c>
      <c r="B167">
        <v>4.03537100953523</v>
      </c>
      <c r="C167">
        <v>1.2493194346701499</v>
      </c>
      <c r="E167" s="2">
        <v>10382257</v>
      </c>
      <c r="F167" t="str">
        <f t="shared" si="3"/>
        <v>Affy 1.0 ST</v>
      </c>
      <c r="G167" t="s">
        <v>1650</v>
      </c>
      <c r="H167" t="str">
        <f>"Amz2"</f>
        <v>Amz2</v>
      </c>
      <c r="I167" t="str">
        <f>"archaelysin family metallopeptidase 2"</f>
        <v>archaelysin family metallopeptidase 2</v>
      </c>
      <c r="O167" s="3" t="e">
        <f>MATCH(A167,'actMatureT&amp;NK'!$A$6:$A$336,0)</f>
        <v>#N/A</v>
      </c>
      <c r="Q167" s="3" t="e">
        <f>MATCH(A167,'actImmT&amp;B'!$A$6:$A$879,0)</f>
        <v>#N/A</v>
      </c>
      <c r="S167" s="3">
        <f>MATCH(A167,'GC-Bcell vs actMatureT&amp;NK,MZ'!$A$6:$A$698,0)</f>
        <v>67</v>
      </c>
      <c r="U167" s="3">
        <f>MATCH(A167,'GC-Bcell vs actImmatureT&amp;B, MZ'!$A$6:$A$458,0)</f>
        <v>133</v>
      </c>
    </row>
    <row r="168" spans="1:21">
      <c r="A168">
        <v>10589464</v>
      </c>
      <c r="B168">
        <v>4.0136409737851801</v>
      </c>
      <c r="C168">
        <v>1.0993427090914401</v>
      </c>
      <c r="E168" s="2">
        <v>10589464</v>
      </c>
      <c r="F168" t="str">
        <f t="shared" si="3"/>
        <v>Affy 1.0 ST</v>
      </c>
      <c r="G168" t="s">
        <v>1131</v>
      </c>
      <c r="H168" t="str">
        <f>"Gm10615"</f>
        <v>Gm10615</v>
      </c>
      <c r="I168" t="str">
        <f>"predicted gene 10615"</f>
        <v>predicted gene 10615</v>
      </c>
      <c r="O168" s="3" t="e">
        <f>MATCH(A168,'actMatureT&amp;NK'!$A$6:$A$336,0)</f>
        <v>#N/A</v>
      </c>
      <c r="Q168" s="3" t="e">
        <f>MATCH(A168,'actImmT&amp;B'!$A$6:$A$879,0)</f>
        <v>#N/A</v>
      </c>
      <c r="S168" s="3">
        <f>MATCH(A168,'GC-Bcell vs actMatureT&amp;NK,MZ'!$A$6:$A$698,0)</f>
        <v>260</v>
      </c>
      <c r="U168" s="3">
        <f>MATCH(A168,'GC-Bcell vs actImmatureT&amp;B, MZ'!$A$6:$A$458,0)</f>
        <v>264</v>
      </c>
    </row>
    <row r="169" spans="1:21">
      <c r="A169">
        <v>10389627</v>
      </c>
      <c r="B169">
        <v>3.9349059101764001</v>
      </c>
      <c r="C169">
        <v>0.86082409488664102</v>
      </c>
      <c r="E169" s="2">
        <v>10389627</v>
      </c>
      <c r="F169" t="str">
        <f t="shared" si="3"/>
        <v>Affy 1.0 ST</v>
      </c>
      <c r="G169" t="s">
        <v>2216</v>
      </c>
      <c r="H169" t="str">
        <f>"Rad51c"</f>
        <v>Rad51c</v>
      </c>
      <c r="I169" t="str">
        <f>"RAD51 homolog c (S. cerevisiae)"</f>
        <v>RAD51 homolog c (S. cerevisiae)</v>
      </c>
      <c r="O169" s="3">
        <f>MATCH(A169,'actMatureT&amp;NK'!$A$6:$A$336,0)</f>
        <v>236</v>
      </c>
      <c r="Q169" s="3">
        <f>MATCH(A169,'actImmT&amp;B'!$A$6:$A$879,0)</f>
        <v>244</v>
      </c>
      <c r="S169" s="3" t="e">
        <f>MATCH(A169,'GC-Bcell vs actMatureT&amp;NK,MZ'!$A$6:$A$698,0)</f>
        <v>#N/A</v>
      </c>
      <c r="U169" s="3" t="e">
        <f>MATCH(A169,'GC-Bcell vs actImmatureT&amp;B, MZ'!$A$6:$A$458,0)</f>
        <v>#N/A</v>
      </c>
    </row>
    <row r="170" spans="1:21">
      <c r="A170">
        <v>10550935</v>
      </c>
      <c r="B170">
        <v>3.9260264313476099</v>
      </c>
      <c r="C170">
        <v>0.56802446569623599</v>
      </c>
      <c r="E170" s="2">
        <v>10550935</v>
      </c>
      <c r="F170" t="str">
        <f t="shared" si="3"/>
        <v>Affy 1.0 ST</v>
      </c>
      <c r="G170" t="s">
        <v>1211</v>
      </c>
      <c r="H170" t="str">
        <f>"Xrcc1"</f>
        <v>Xrcc1</v>
      </c>
      <c r="I170" t="str">
        <f>"X-ray repair complementing defective repair in Chinese hamster cells 1"</f>
        <v>X-ray repair complementing defective repair in Chinese hamster cells 1</v>
      </c>
      <c r="O170" s="3" t="e">
        <f>MATCH(A170,'actMatureT&amp;NK'!$A$6:$A$336,0)</f>
        <v>#N/A</v>
      </c>
      <c r="Q170" s="3">
        <f>MATCH(A170,'actImmT&amp;B'!$A$6:$A$879,0)</f>
        <v>696</v>
      </c>
      <c r="S170" s="3">
        <f>MATCH(A170,'GC-Bcell vs actMatureT&amp;NK,MZ'!$A$6:$A$698,0)</f>
        <v>225</v>
      </c>
      <c r="U170" s="3">
        <f>MATCH(A170,'GC-Bcell vs actImmatureT&amp;B, MZ'!$A$6:$A$458,0)</f>
        <v>319</v>
      </c>
    </row>
    <row r="171" spans="1:21">
      <c r="A171">
        <v>10512236</v>
      </c>
      <c r="B171">
        <v>3.8375628725267501</v>
      </c>
      <c r="C171">
        <v>0.866852819851053</v>
      </c>
      <c r="E171" s="2">
        <v>10512236</v>
      </c>
      <c r="F171" t="str">
        <f t="shared" si="3"/>
        <v>Affy 1.0 ST</v>
      </c>
      <c r="G171" t="s">
        <v>964</v>
      </c>
      <c r="H171" t="str">
        <f>"Kif24"</f>
        <v>Kif24</v>
      </c>
      <c r="I171" t="str">
        <f>"kinesin family member 24"</f>
        <v>kinesin family member 24</v>
      </c>
      <c r="O171" s="3" t="e">
        <f>MATCH(A171,'actMatureT&amp;NK'!$A$6:$A$336,0)</f>
        <v>#N/A</v>
      </c>
      <c r="Q171" s="3">
        <f>MATCH(A171,'actImmT&amp;B'!$A$6:$A$879,0)</f>
        <v>230</v>
      </c>
      <c r="S171" s="3">
        <f>MATCH(A171,'GC-Bcell vs actMatureT&amp;NK,MZ'!$A$6:$A$698,0)</f>
        <v>325</v>
      </c>
      <c r="U171" s="3" t="e">
        <f>MATCH(A171,'GC-Bcell vs actImmatureT&amp;B, MZ'!$A$6:$A$458,0)</f>
        <v>#N/A</v>
      </c>
    </row>
    <row r="172" spans="1:21">
      <c r="A172">
        <v>10527801</v>
      </c>
      <c r="B172">
        <v>3.8282791859728702</v>
      </c>
      <c r="C172">
        <v>0.90380481612775798</v>
      </c>
      <c r="E172" s="2">
        <v>10527801</v>
      </c>
      <c r="F172" t="str">
        <f t="shared" si="3"/>
        <v>Affy 1.0 ST</v>
      </c>
      <c r="G172" t="s">
        <v>2217</v>
      </c>
      <c r="H172" t="str">
        <f>"Brca2"</f>
        <v>Brca2</v>
      </c>
      <c r="I172" t="str">
        <f>"breast cancer 2"</f>
        <v>breast cancer 2</v>
      </c>
      <c r="O172" s="3">
        <f>MATCH(A172,'actMatureT&amp;NK'!$A$6:$A$336,0)</f>
        <v>194</v>
      </c>
      <c r="Q172" s="3">
        <f>MATCH(A172,'actImmT&amp;B'!$A$6:$A$879,0)</f>
        <v>236</v>
      </c>
      <c r="S172" s="3" t="e">
        <f>MATCH(A172,'GC-Bcell vs actMatureT&amp;NK,MZ'!$A$6:$A$698,0)</f>
        <v>#N/A</v>
      </c>
      <c r="U172" s="3" t="e">
        <f>MATCH(A172,'GC-Bcell vs actImmatureT&amp;B, MZ'!$A$6:$A$458,0)</f>
        <v>#N/A</v>
      </c>
    </row>
    <row r="173" spans="1:21">
      <c r="A173">
        <v>10390050</v>
      </c>
      <c r="B173">
        <v>3.8235299007112999</v>
      </c>
      <c r="C173">
        <v>0.76863391929390801</v>
      </c>
      <c r="E173" s="2">
        <v>10390050</v>
      </c>
      <c r="F173" t="str">
        <f t="shared" si="3"/>
        <v>Affy 1.0 ST</v>
      </c>
      <c r="G173" t="s">
        <v>2218</v>
      </c>
      <c r="H173" t="str">
        <f>"Eme1"</f>
        <v>Eme1</v>
      </c>
      <c r="I173" t="str">
        <f>"essential meiotic endonuclease 1 homolog 1 (S. pombe)"</f>
        <v>essential meiotic endonuclease 1 homolog 1 (S. pombe)</v>
      </c>
      <c r="O173" s="3">
        <f>MATCH(A173,'actMatureT&amp;NK'!$A$6:$A$336,0)</f>
        <v>212</v>
      </c>
      <c r="Q173" s="3">
        <f>MATCH(A173,'actImmT&amp;B'!$A$6:$A$879,0)</f>
        <v>257</v>
      </c>
      <c r="S173" s="3" t="e">
        <f>MATCH(A173,'GC-Bcell vs actMatureT&amp;NK,MZ'!$A$6:$A$698,0)</f>
        <v>#N/A</v>
      </c>
      <c r="U173" s="3" t="e">
        <f>MATCH(A173,'GC-Bcell vs actImmatureT&amp;B, MZ'!$A$6:$A$458,0)</f>
        <v>#N/A</v>
      </c>
    </row>
    <row r="174" spans="1:21">
      <c r="A174">
        <v>10356780</v>
      </c>
      <c r="B174">
        <v>3.7963634537547599</v>
      </c>
      <c r="C174">
        <v>0.75158727243696799</v>
      </c>
      <c r="E174" s="2">
        <v>10356780</v>
      </c>
      <c r="F174" t="str">
        <f t="shared" si="3"/>
        <v>Affy 1.0 ST</v>
      </c>
      <c r="G174" t="s">
        <v>2219</v>
      </c>
      <c r="H174" t="str">
        <f>"Pask"</f>
        <v>Pask</v>
      </c>
      <c r="I174" t="str">
        <f>"PAS domain containing serine/threonine kinase"</f>
        <v>PAS domain containing serine/threonine kinase</v>
      </c>
      <c r="O174" s="3" t="e">
        <f>MATCH(A174,'actMatureT&amp;NK'!$A$6:$A$336,0)</f>
        <v>#N/A</v>
      </c>
      <c r="Q174" s="3" t="e">
        <f>MATCH(A174,'actImmT&amp;B'!$A$6:$A$879,0)</f>
        <v>#N/A</v>
      </c>
      <c r="S174" s="3" t="e">
        <f>MATCH(A174,'GC-Bcell vs actMatureT&amp;NK,MZ'!$A$6:$A$698,0)</f>
        <v>#N/A</v>
      </c>
      <c r="U174" s="3" t="e">
        <f>MATCH(A174,'GC-Bcell vs actImmatureT&amp;B, MZ'!$A$6:$A$458,0)</f>
        <v>#N/A</v>
      </c>
    </row>
    <row r="175" spans="1:21">
      <c r="A175">
        <v>10382136</v>
      </c>
      <c r="B175">
        <v>3.7542627966887498</v>
      </c>
      <c r="C175">
        <v>0.65029205562458803</v>
      </c>
      <c r="E175" s="2">
        <v>10382136</v>
      </c>
      <c r="F175" t="str">
        <f t="shared" si="3"/>
        <v>Affy 1.0 ST</v>
      </c>
      <c r="G175" t="s">
        <v>1208</v>
      </c>
      <c r="H175" t="str">
        <f>"1810010H24Rik"</f>
        <v>1810010H24Rik</v>
      </c>
      <c r="I175" t="str">
        <f>"RIKEN cDNA 1810010H24 gene"</f>
        <v>RIKEN cDNA 1810010H24 gene</v>
      </c>
      <c r="O175" s="3" t="e">
        <f>MATCH(A175,'actMatureT&amp;NK'!$A$6:$A$336,0)</f>
        <v>#N/A</v>
      </c>
      <c r="Q175" s="3" t="e">
        <f>MATCH(A175,'actImmT&amp;B'!$A$6:$A$879,0)</f>
        <v>#N/A</v>
      </c>
      <c r="S175" s="3">
        <f>MATCH(A175,'GC-Bcell vs actMatureT&amp;NK,MZ'!$A$6:$A$698,0)</f>
        <v>224</v>
      </c>
      <c r="U175" s="3">
        <f>MATCH(A175,'GC-Bcell vs actImmatureT&amp;B, MZ'!$A$6:$A$458,0)</f>
        <v>132</v>
      </c>
    </row>
    <row r="176" spans="1:21">
      <c r="A176">
        <v>10581800</v>
      </c>
      <c r="B176">
        <v>3.7526127516980798</v>
      </c>
      <c r="C176">
        <v>0.87503277982838701</v>
      </c>
      <c r="E176" s="2">
        <v>10581800</v>
      </c>
      <c r="F176" t="str">
        <f t="shared" si="3"/>
        <v>Affy 1.0 ST</v>
      </c>
      <c r="G176" t="s">
        <v>2220</v>
      </c>
      <c r="H176" t="str">
        <f>"Rfwd3"</f>
        <v>Rfwd3</v>
      </c>
      <c r="I176" t="str">
        <f>"ring finger and WD repeat domain 3"</f>
        <v>ring finger and WD repeat domain 3</v>
      </c>
      <c r="O176" s="3" t="e">
        <f>MATCH(A176,'actMatureT&amp;NK'!$A$6:$A$336,0)</f>
        <v>#N/A</v>
      </c>
      <c r="Q176" s="3">
        <f>MATCH(A176,'actImmT&amp;B'!$A$6:$A$879,0)</f>
        <v>254</v>
      </c>
      <c r="S176" s="3" t="e">
        <f>MATCH(A176,'GC-Bcell vs actMatureT&amp;NK,MZ'!$A$6:$A$698,0)</f>
        <v>#N/A</v>
      </c>
      <c r="U176" s="3" t="e">
        <f>MATCH(A176,'GC-Bcell vs actImmatureT&amp;B, MZ'!$A$6:$A$458,0)</f>
        <v>#N/A</v>
      </c>
    </row>
    <row r="177" spans="1:21">
      <c r="A177">
        <v>10556640</v>
      </c>
      <c r="B177">
        <v>3.7510006143747998</v>
      </c>
      <c r="C177">
        <v>0.74266780001531996</v>
      </c>
      <c r="E177" s="2">
        <v>10556640</v>
      </c>
      <c r="F177" t="str">
        <f t="shared" si="3"/>
        <v>Affy 1.0 ST</v>
      </c>
      <c r="G177" t="s">
        <v>2221</v>
      </c>
      <c r="H177" t="str">
        <f>"6330503K22Rik"</f>
        <v>6330503K22Rik</v>
      </c>
      <c r="I177" t="str">
        <f>"RIKEN cDNA 6330503K22 gene"</f>
        <v>RIKEN cDNA 6330503K22 gene</v>
      </c>
      <c r="O177" s="3">
        <f>MATCH(A177,'actMatureT&amp;NK'!$A$6:$A$336,0)</f>
        <v>295</v>
      </c>
      <c r="Q177" s="3">
        <f>MATCH(A177,'actImmT&amp;B'!$A$6:$A$879,0)</f>
        <v>295</v>
      </c>
      <c r="S177" s="3" t="e">
        <f>MATCH(A177,'GC-Bcell vs actMatureT&amp;NK,MZ'!$A$6:$A$698,0)</f>
        <v>#N/A</v>
      </c>
      <c r="U177" s="3" t="e">
        <f>MATCH(A177,'GC-Bcell vs actImmatureT&amp;B, MZ'!$A$6:$A$458,0)</f>
        <v>#N/A</v>
      </c>
    </row>
    <row r="178" spans="1:21">
      <c r="A178">
        <v>10488785</v>
      </c>
      <c r="B178">
        <v>3.73850196572368</v>
      </c>
      <c r="C178">
        <v>1.0029771437671799</v>
      </c>
      <c r="E178" s="2">
        <v>10488785</v>
      </c>
      <c r="F178" t="str">
        <f t="shared" si="3"/>
        <v>Affy 1.0 ST</v>
      </c>
      <c r="G178" t="s">
        <v>2222</v>
      </c>
      <c r="H178" t="str">
        <f>"E2f1"</f>
        <v>E2f1</v>
      </c>
      <c r="I178" t="str">
        <f>"E2F transcription factor 1"</f>
        <v>E2F transcription factor 1</v>
      </c>
      <c r="O178" s="3">
        <f>MATCH(A178,'actMatureT&amp;NK'!$A$6:$A$336,0)</f>
        <v>184</v>
      </c>
      <c r="Q178" s="3" t="e">
        <f>MATCH(A178,'actImmT&amp;B'!$A$6:$A$879,0)</f>
        <v>#N/A</v>
      </c>
      <c r="S178" s="3" t="e">
        <f>MATCH(A178,'GC-Bcell vs actMatureT&amp;NK,MZ'!$A$6:$A$698,0)</f>
        <v>#N/A</v>
      </c>
      <c r="U178" s="3" t="e">
        <f>MATCH(A178,'GC-Bcell vs actImmatureT&amp;B, MZ'!$A$6:$A$458,0)</f>
        <v>#N/A</v>
      </c>
    </row>
    <row r="179" spans="1:21">
      <c r="A179">
        <v>10376534</v>
      </c>
      <c r="B179">
        <v>3.72232044673247</v>
      </c>
      <c r="C179">
        <v>1.00701268579435</v>
      </c>
      <c r="E179" s="2">
        <v>10376534</v>
      </c>
      <c r="F179" t="str">
        <f t="shared" ref="F179:F200" si="4">"Affy 1.0 ST"</f>
        <v>Affy 1.0 ST</v>
      </c>
      <c r="G179" t="s">
        <v>1445</v>
      </c>
      <c r="H179" t="str">
        <f>"Mprip"</f>
        <v>Mprip</v>
      </c>
      <c r="I179" t="str">
        <f>"myosin phosphatase Rho interacting protein"</f>
        <v>myosin phosphatase Rho interacting protein</v>
      </c>
      <c r="O179" s="3" t="e">
        <f>MATCH(A179,'actMatureT&amp;NK'!$A$6:$A$336,0)</f>
        <v>#N/A</v>
      </c>
      <c r="Q179" s="3" t="e">
        <f>MATCH(A179,'actImmT&amp;B'!$A$6:$A$879,0)</f>
        <v>#N/A</v>
      </c>
      <c r="S179" s="3">
        <f>MATCH(A179,'GC-Bcell vs actMatureT&amp;NK,MZ'!$A$6:$A$698,0)</f>
        <v>187</v>
      </c>
      <c r="U179" s="3" t="e">
        <f>MATCH(A179,'GC-Bcell vs actImmatureT&amp;B, MZ'!$A$6:$A$458,0)</f>
        <v>#N/A</v>
      </c>
    </row>
    <row r="180" spans="1:21">
      <c r="A180">
        <v>10363163</v>
      </c>
      <c r="B180">
        <v>3.7217309760100901</v>
      </c>
      <c r="C180">
        <v>1.05432763799046</v>
      </c>
      <c r="E180" s="2">
        <v>10363163</v>
      </c>
      <c r="F180" t="str">
        <f t="shared" si="4"/>
        <v>Affy 1.0 ST</v>
      </c>
      <c r="G180" t="s">
        <v>1146</v>
      </c>
      <c r="H180" t="str">
        <f>"Asf1a"</f>
        <v>Asf1a</v>
      </c>
      <c r="I180" t="str">
        <f>"ASF1 anti-silencing function 1 homolog A (S. cerevisiae)"</f>
        <v>ASF1 anti-silencing function 1 homolog A (S. cerevisiae)</v>
      </c>
      <c r="O180" s="3" t="e">
        <f>MATCH(A180,'actMatureT&amp;NK'!$A$6:$A$336,0)</f>
        <v>#N/A</v>
      </c>
      <c r="Q180" s="3" t="e">
        <f>MATCH(A180,'actImmT&amp;B'!$A$6:$A$879,0)</f>
        <v>#N/A</v>
      </c>
      <c r="S180" s="3">
        <f>MATCH(A180,'GC-Bcell vs actMatureT&amp;NK,MZ'!$A$6:$A$698,0)</f>
        <v>330</v>
      </c>
      <c r="U180" s="3" t="e">
        <f>MATCH(A180,'GC-Bcell vs actImmatureT&amp;B, MZ'!$A$6:$A$458,0)</f>
        <v>#N/A</v>
      </c>
    </row>
    <row r="181" spans="1:21">
      <c r="A181">
        <v>10595614</v>
      </c>
      <c r="B181">
        <v>3.7114571643246599</v>
      </c>
      <c r="C181">
        <v>1.1038910981341601</v>
      </c>
      <c r="E181" s="2">
        <v>10595614</v>
      </c>
      <c r="F181" t="str">
        <f t="shared" si="4"/>
        <v>Affy 1.0 ST</v>
      </c>
      <c r="G181" t="s">
        <v>747</v>
      </c>
      <c r="H181" t="str">
        <f>"2810026P18Rik"</f>
        <v>2810026P18Rik</v>
      </c>
      <c r="I181" t="str">
        <f>"RIKEN cDNA 2810026P18 gene"</f>
        <v>RIKEN cDNA 2810026P18 gene</v>
      </c>
      <c r="O181" s="3" t="e">
        <f>MATCH(A181,'actMatureT&amp;NK'!$A$6:$A$336,0)</f>
        <v>#N/A</v>
      </c>
      <c r="Q181" s="3" t="e">
        <f>MATCH(A181,'actImmT&amp;B'!$A$6:$A$879,0)</f>
        <v>#N/A</v>
      </c>
      <c r="S181" s="3">
        <f>MATCH(A181,'GC-Bcell vs actMatureT&amp;NK,MZ'!$A$6:$A$698,0)</f>
        <v>368</v>
      </c>
      <c r="U181" s="3" t="e">
        <f>MATCH(A181,'GC-Bcell vs actImmatureT&amp;B, MZ'!$A$6:$A$458,0)</f>
        <v>#N/A</v>
      </c>
    </row>
    <row r="182" spans="1:21">
      <c r="A182">
        <v>10499035</v>
      </c>
      <c r="B182">
        <v>3.5981543609682398</v>
      </c>
      <c r="C182">
        <v>0.68942878771548199</v>
      </c>
      <c r="E182" s="2">
        <v>10499035</v>
      </c>
      <c r="F182" t="str">
        <f t="shared" si="4"/>
        <v>Affy 1.0 ST</v>
      </c>
      <c r="G182" t="s">
        <v>1403</v>
      </c>
      <c r="H182" t="str">
        <f>"Mnd1"</f>
        <v>Mnd1</v>
      </c>
      <c r="I182" t="str">
        <f>"meiotic nuclear divisions 1 homolog (S. cerevisiae)"</f>
        <v>meiotic nuclear divisions 1 homolog (S. cerevisiae)</v>
      </c>
      <c r="O182" s="3" t="e">
        <f>MATCH(A182,'actMatureT&amp;NK'!$A$6:$A$336,0)</f>
        <v>#N/A</v>
      </c>
      <c r="Q182" s="3" t="e">
        <f>MATCH(A182,'actImmT&amp;B'!$A$6:$A$879,0)</f>
        <v>#N/A</v>
      </c>
      <c r="S182" s="3">
        <f>MATCH(A182,'GC-Bcell vs actMatureT&amp;NK,MZ'!$A$6:$A$698,0)</f>
        <v>232</v>
      </c>
      <c r="U182" s="3" t="e">
        <f>MATCH(A182,'GC-Bcell vs actImmatureT&amp;B, MZ'!$A$6:$A$458,0)</f>
        <v>#N/A</v>
      </c>
    </row>
    <row r="183" spans="1:21">
      <c r="A183">
        <v>10396849</v>
      </c>
      <c r="B183">
        <v>3.5559536985545201</v>
      </c>
      <c r="C183">
        <v>0.91238035849111199</v>
      </c>
      <c r="E183" s="2">
        <v>10396849</v>
      </c>
      <c r="F183" t="str">
        <f t="shared" si="4"/>
        <v>Affy 1.0 ST</v>
      </c>
      <c r="G183" t="s">
        <v>2223</v>
      </c>
      <c r="H183" t="str">
        <f>"Rad51l1"</f>
        <v>Rad51l1</v>
      </c>
      <c r="I183" t="str">
        <f>"RAD51-like 1 (S. cerevisiae)"</f>
        <v>RAD51-like 1 (S. cerevisiae)</v>
      </c>
      <c r="O183" s="3" t="e">
        <f>MATCH(A183,'actMatureT&amp;NK'!$A$6:$A$336,0)</f>
        <v>#N/A</v>
      </c>
      <c r="Q183" s="3" t="e">
        <f>MATCH(A183,'actImmT&amp;B'!$A$6:$A$879,0)</f>
        <v>#N/A</v>
      </c>
      <c r="S183" s="3" t="e">
        <f>MATCH(A183,'GC-Bcell vs actMatureT&amp;NK,MZ'!$A$6:$A$698,0)</f>
        <v>#N/A</v>
      </c>
      <c r="U183" s="3" t="e">
        <f>MATCH(A183,'GC-Bcell vs actImmatureT&amp;B, MZ'!$A$6:$A$458,0)</f>
        <v>#N/A</v>
      </c>
    </row>
    <row r="184" spans="1:21">
      <c r="A184">
        <v>10465638</v>
      </c>
      <c r="B184">
        <v>3.5121876251480701</v>
      </c>
      <c r="C184">
        <v>0.99333372465627401</v>
      </c>
      <c r="E184" s="2">
        <v>10465638</v>
      </c>
      <c r="F184" t="str">
        <f t="shared" si="4"/>
        <v>Affy 1.0 ST</v>
      </c>
      <c r="G184" t="s">
        <v>660</v>
      </c>
      <c r="H184" t="str">
        <f>"Naa40"</f>
        <v>Naa40</v>
      </c>
      <c r="I184" t="s">
        <v>2067</v>
      </c>
      <c r="O184" s="3" t="e">
        <f>MATCH(A184,'actMatureT&amp;NK'!$A$6:$A$336,0)</f>
        <v>#N/A</v>
      </c>
      <c r="Q184" s="3">
        <f>MATCH(A184,'actImmT&amp;B'!$A$6:$A$879,0)</f>
        <v>657</v>
      </c>
      <c r="S184" s="3">
        <f>MATCH(A184,'GC-Bcell vs actMatureT&amp;NK,MZ'!$A$6:$A$698,0)</f>
        <v>403</v>
      </c>
      <c r="U184" s="3" t="e">
        <f>MATCH(A184,'GC-Bcell vs actImmatureT&amp;B, MZ'!$A$6:$A$458,0)</f>
        <v>#N/A</v>
      </c>
    </row>
    <row r="185" spans="1:21">
      <c r="A185">
        <v>10388718</v>
      </c>
      <c r="B185">
        <v>3.5087557516243302</v>
      </c>
      <c r="C185">
        <v>0.50132925345908996</v>
      </c>
      <c r="E185" s="2">
        <v>10388718</v>
      </c>
      <c r="F185" t="str">
        <f t="shared" si="4"/>
        <v>Affy 1.0 ST</v>
      </c>
      <c r="G185" t="s">
        <v>1286</v>
      </c>
      <c r="H185" t="str">
        <f>"Pipox"</f>
        <v>Pipox</v>
      </c>
      <c r="I185" t="str">
        <f>"pipecolic acid oxidase"</f>
        <v>pipecolic acid oxidase</v>
      </c>
      <c r="O185" s="3" t="e">
        <f>MATCH(A185,'actMatureT&amp;NK'!$A$6:$A$336,0)</f>
        <v>#N/A</v>
      </c>
      <c r="Q185" s="3" t="e">
        <f>MATCH(A185,'actImmT&amp;B'!$A$6:$A$879,0)</f>
        <v>#N/A</v>
      </c>
      <c r="S185" s="3">
        <f>MATCH(A185,'GC-Bcell vs actMatureT&amp;NK,MZ'!$A$6:$A$698,0)</f>
        <v>189</v>
      </c>
      <c r="U185" s="3" t="e">
        <f>MATCH(A185,'GC-Bcell vs actImmatureT&amp;B, MZ'!$A$6:$A$458,0)</f>
        <v>#N/A</v>
      </c>
    </row>
    <row r="186" spans="1:21">
      <c r="A186">
        <v>10512061</v>
      </c>
      <c r="B186">
        <v>3.4616676425667401</v>
      </c>
      <c r="C186">
        <v>1.1249194676929199</v>
      </c>
      <c r="E186" s="2">
        <v>10512061</v>
      </c>
      <c r="F186" t="str">
        <f t="shared" si="4"/>
        <v>Affy 1.0 ST</v>
      </c>
      <c r="G186" t="s">
        <v>829</v>
      </c>
      <c r="H186" t="str">
        <f>"Gm12372"</f>
        <v>Gm12372</v>
      </c>
      <c r="I186" t="str">
        <f>"predicted gene 12372"</f>
        <v>predicted gene 12372</v>
      </c>
      <c r="O186" s="3" t="e">
        <f>MATCH(A186,'actMatureT&amp;NK'!$A$6:$A$336,0)</f>
        <v>#N/A</v>
      </c>
      <c r="Q186" s="3" t="e">
        <f>MATCH(A186,'actImmT&amp;B'!$A$6:$A$879,0)</f>
        <v>#N/A</v>
      </c>
      <c r="S186" s="3">
        <f>MATCH(A186,'GC-Bcell vs actMatureT&amp;NK,MZ'!$A$6:$A$698,0)</f>
        <v>336</v>
      </c>
      <c r="U186" s="3" t="e">
        <f>MATCH(A186,'GC-Bcell vs actImmatureT&amp;B, MZ'!$A$6:$A$458,0)</f>
        <v>#N/A</v>
      </c>
    </row>
    <row r="187" spans="1:21">
      <c r="A187">
        <v>10506822</v>
      </c>
      <c r="B187">
        <v>3.45957335211788</v>
      </c>
      <c r="C187">
        <v>0.58181632293916996</v>
      </c>
      <c r="E187" s="2">
        <v>10506822</v>
      </c>
      <c r="F187" t="str">
        <f t="shared" si="4"/>
        <v>Affy 1.0 ST</v>
      </c>
      <c r="G187" t="s">
        <v>2224</v>
      </c>
      <c r="H187" t="str">
        <f>"Orc1"</f>
        <v>Orc1</v>
      </c>
      <c r="I187" t="s">
        <v>2068</v>
      </c>
      <c r="O187" s="3">
        <f>MATCH(A187,'actMatureT&amp;NK'!$A$6:$A$336,0)</f>
        <v>198</v>
      </c>
      <c r="Q187" s="3">
        <f>MATCH(A187,'actImmT&amp;B'!$A$6:$A$879,0)</f>
        <v>594</v>
      </c>
      <c r="S187" s="3" t="e">
        <f>MATCH(A187,'GC-Bcell vs actMatureT&amp;NK,MZ'!$A$6:$A$698,0)</f>
        <v>#N/A</v>
      </c>
      <c r="U187" s="3" t="e">
        <f>MATCH(A187,'GC-Bcell vs actImmatureT&amp;B, MZ'!$A$6:$A$458,0)</f>
        <v>#N/A</v>
      </c>
    </row>
    <row r="188" spans="1:21">
      <c r="A188">
        <v>10402073</v>
      </c>
      <c r="B188">
        <v>3.44271878175083</v>
      </c>
      <c r="C188">
        <v>0.62991732697986702</v>
      </c>
      <c r="E188" s="2">
        <v>10402073</v>
      </c>
      <c r="F188" t="str">
        <f t="shared" si="4"/>
        <v>Affy 1.0 ST</v>
      </c>
      <c r="G188" t="s">
        <v>1306</v>
      </c>
      <c r="H188" t="str">
        <f>"2610021K21Rik"</f>
        <v>2610021K21Rik</v>
      </c>
      <c r="I188" t="str">
        <f>"RIKEN cDNA 2610021K21 gene"</f>
        <v>RIKEN cDNA 2610021K21 gene</v>
      </c>
      <c r="O188" s="3" t="e">
        <f>MATCH(A188,'actMatureT&amp;NK'!$A$6:$A$336,0)</f>
        <v>#N/A</v>
      </c>
      <c r="Q188" s="3">
        <f>MATCH(A188,'actImmT&amp;B'!$A$6:$A$879,0)</f>
        <v>263</v>
      </c>
      <c r="S188" s="3">
        <f>MATCH(A188,'GC-Bcell vs actMatureT&amp;NK,MZ'!$A$6:$A$698,0)</f>
        <v>258</v>
      </c>
      <c r="U188" s="3" t="e">
        <f>MATCH(A188,'GC-Bcell vs actImmatureT&amp;B, MZ'!$A$6:$A$458,0)</f>
        <v>#N/A</v>
      </c>
    </row>
    <row r="189" spans="1:21">
      <c r="A189">
        <v>10395831</v>
      </c>
      <c r="B189">
        <v>3.41684928542952</v>
      </c>
      <c r="C189">
        <v>1.0729441328582601</v>
      </c>
      <c r="E189" s="2">
        <v>10395831</v>
      </c>
      <c r="F189" t="str">
        <f t="shared" si="4"/>
        <v>Affy 1.0 ST</v>
      </c>
      <c r="G189" t="s">
        <v>713</v>
      </c>
      <c r="H189" t="str">
        <f>"Brms1l"</f>
        <v>Brms1l</v>
      </c>
      <c r="I189" t="str">
        <f>"breast cancer metastasis-suppressor 1-like"</f>
        <v>breast cancer metastasis-suppressor 1-like</v>
      </c>
      <c r="O189" s="3" t="e">
        <f>MATCH(A189,'actMatureT&amp;NK'!$A$6:$A$336,0)</f>
        <v>#N/A</v>
      </c>
      <c r="Q189" s="3">
        <f>MATCH(A189,'actImmT&amp;B'!$A$6:$A$879,0)</f>
        <v>530</v>
      </c>
      <c r="S189" s="3">
        <f>MATCH(A189,'GC-Bcell vs actMatureT&amp;NK,MZ'!$A$6:$A$698,0)</f>
        <v>423</v>
      </c>
      <c r="U189" s="3" t="e">
        <f>MATCH(A189,'GC-Bcell vs actImmatureT&amp;B, MZ'!$A$6:$A$458,0)</f>
        <v>#N/A</v>
      </c>
    </row>
    <row r="190" spans="1:21">
      <c r="A190">
        <v>10345550</v>
      </c>
      <c r="B190">
        <v>3.4152855972596399</v>
      </c>
      <c r="C190">
        <v>0.51705071801646596</v>
      </c>
      <c r="E190" s="2">
        <v>10345550</v>
      </c>
      <c r="F190" t="str">
        <f t="shared" si="4"/>
        <v>Affy 1.0 ST</v>
      </c>
      <c r="G190" t="s">
        <v>1612</v>
      </c>
      <c r="H190" t="str">
        <f>"Vwa3b"</f>
        <v>Vwa3b</v>
      </c>
      <c r="I190" t="str">
        <f>"von Willebrand factor A domain containing 3B"</f>
        <v>von Willebrand factor A domain containing 3B</v>
      </c>
      <c r="O190" s="3" t="e">
        <f>MATCH(A190,'actMatureT&amp;NK'!$A$6:$A$336,0)</f>
        <v>#N/A</v>
      </c>
      <c r="Q190" s="3" t="e">
        <f>MATCH(A190,'actImmT&amp;B'!$A$6:$A$879,0)</f>
        <v>#N/A</v>
      </c>
      <c r="S190" s="3">
        <f>MATCH(A190,'GC-Bcell vs actMatureT&amp;NK,MZ'!$A$6:$A$698,0)</f>
        <v>231</v>
      </c>
      <c r="U190" s="3">
        <f>MATCH(A190,'GC-Bcell vs actImmatureT&amp;B, MZ'!$A$6:$A$458,0)</f>
        <v>139</v>
      </c>
    </row>
    <row r="191" spans="1:21">
      <c r="A191">
        <v>10431856</v>
      </c>
      <c r="B191">
        <v>3.4114088366485902</v>
      </c>
      <c r="C191">
        <v>1.0553004358429301</v>
      </c>
      <c r="E191" s="2">
        <v>10431856</v>
      </c>
      <c r="F191" t="str">
        <f t="shared" si="4"/>
        <v>Affy 1.0 ST</v>
      </c>
      <c r="G191" t="s">
        <v>1062</v>
      </c>
      <c r="H191" t="str">
        <f>"Scaf11"</f>
        <v>Scaf11</v>
      </c>
      <c r="I191" t="str">
        <f>"SR-related CTD-associated factor 11"</f>
        <v>SR-related CTD-associated factor 11</v>
      </c>
      <c r="O191" s="3" t="e">
        <f>MATCH(A191,'actMatureT&amp;NK'!$A$6:$A$336,0)</f>
        <v>#N/A</v>
      </c>
      <c r="Q191" s="3" t="e">
        <f>MATCH(A191,'actImmT&amp;B'!$A$6:$A$879,0)</f>
        <v>#N/A</v>
      </c>
      <c r="S191" s="3">
        <f>MATCH(A191,'GC-Bcell vs actMatureT&amp;NK,MZ'!$A$6:$A$698,0)</f>
        <v>361</v>
      </c>
      <c r="U191" s="3">
        <f>MATCH(A191,'GC-Bcell vs actImmatureT&amp;B, MZ'!$A$6:$A$458,0)</f>
        <v>357</v>
      </c>
    </row>
    <row r="192" spans="1:21">
      <c r="A192">
        <v>10599826</v>
      </c>
      <c r="B192">
        <v>3.39977652285764</v>
      </c>
      <c r="C192">
        <v>0.65520104752477404</v>
      </c>
      <c r="E192" s="2">
        <v>10599826</v>
      </c>
      <c r="F192" t="str">
        <f t="shared" si="4"/>
        <v>Affy 1.0 ST</v>
      </c>
      <c r="G192" t="s">
        <v>1298</v>
      </c>
      <c r="H192" t="str">
        <f>"F9"</f>
        <v>F9</v>
      </c>
      <c r="I192" t="str">
        <f>"coagulation factor IX"</f>
        <v>coagulation factor IX</v>
      </c>
      <c r="O192" s="3" t="e">
        <f>MATCH(A192,'actMatureT&amp;NK'!$A$6:$A$336,0)</f>
        <v>#N/A</v>
      </c>
      <c r="Q192" s="3" t="e">
        <f>MATCH(A192,'actImmT&amp;B'!$A$6:$A$879,0)</f>
        <v>#N/A</v>
      </c>
      <c r="S192" s="3">
        <f>MATCH(A192,'GC-Bcell vs actMatureT&amp;NK,MZ'!$A$6:$A$698,0)</f>
        <v>193</v>
      </c>
      <c r="U192" s="3">
        <f>MATCH(A192,'GC-Bcell vs actImmatureT&amp;B, MZ'!$A$6:$A$458,0)</f>
        <v>134</v>
      </c>
    </row>
    <row r="193" spans="1:21">
      <c r="A193">
        <v>10379998</v>
      </c>
      <c r="B193">
        <v>3.3929342493724999</v>
      </c>
      <c r="C193">
        <v>1.0998460326694</v>
      </c>
      <c r="E193" s="2">
        <v>10379998</v>
      </c>
      <c r="F193" t="str">
        <f t="shared" si="4"/>
        <v>Affy 1.0 ST</v>
      </c>
      <c r="G193" t="s">
        <v>2225</v>
      </c>
      <c r="H193" t="str">
        <f>"Trim37"</f>
        <v>Trim37</v>
      </c>
      <c r="I193" t="str">
        <f>"tripartite motif-containing 37"</f>
        <v>tripartite motif-containing 37</v>
      </c>
      <c r="O193" s="3" t="e">
        <f>MATCH(A193,'actMatureT&amp;NK'!$A$6:$A$336,0)</f>
        <v>#N/A</v>
      </c>
      <c r="Q193" s="3" t="e">
        <f>MATCH(A193,'actImmT&amp;B'!$A$6:$A$879,0)</f>
        <v>#N/A</v>
      </c>
      <c r="S193" s="3" t="e">
        <f>MATCH(A193,'GC-Bcell vs actMatureT&amp;NK,MZ'!$A$6:$A$698,0)</f>
        <v>#N/A</v>
      </c>
      <c r="U193" s="3" t="e">
        <f>MATCH(A193,'GC-Bcell vs actImmatureT&amp;B, MZ'!$A$6:$A$458,0)</f>
        <v>#N/A</v>
      </c>
    </row>
    <row r="194" spans="1:21">
      <c r="A194">
        <v>10458285</v>
      </c>
      <c r="B194">
        <v>3.3389614073601801</v>
      </c>
      <c r="C194">
        <v>0.60673444046022396</v>
      </c>
      <c r="E194" s="2">
        <v>10458285</v>
      </c>
      <c r="F194" t="str">
        <f t="shared" si="4"/>
        <v>Affy 1.0 ST</v>
      </c>
      <c r="G194" t="s">
        <v>710</v>
      </c>
      <c r="H194" t="str">
        <f>"Spata24"</f>
        <v>Spata24</v>
      </c>
      <c r="I194" t="str">
        <f>"spermatogenesis associated 24"</f>
        <v>spermatogenesis associated 24</v>
      </c>
      <c r="O194" s="3" t="e">
        <f>MATCH(A194,'actMatureT&amp;NK'!$A$6:$A$336,0)</f>
        <v>#N/A</v>
      </c>
      <c r="Q194" s="3" t="e">
        <f>MATCH(A194,'actImmT&amp;B'!$A$6:$A$879,0)</f>
        <v>#N/A</v>
      </c>
      <c r="S194" s="3">
        <f>MATCH(A194,'GC-Bcell vs actMatureT&amp;NK,MZ'!$A$6:$A$698,0)</f>
        <v>422</v>
      </c>
      <c r="U194" s="3" t="e">
        <f>MATCH(A194,'GC-Bcell vs actImmatureT&amp;B, MZ'!$A$6:$A$458,0)</f>
        <v>#N/A</v>
      </c>
    </row>
    <row r="195" spans="1:21">
      <c r="A195">
        <v>10385455</v>
      </c>
      <c r="B195">
        <v>3.3309845867742101</v>
      </c>
      <c r="C195">
        <v>0.43069514471621001</v>
      </c>
      <c r="E195" s="2">
        <v>10385455</v>
      </c>
      <c r="F195" t="str">
        <f t="shared" si="4"/>
        <v>Affy 1.0 ST</v>
      </c>
      <c r="G195" t="s">
        <v>1245</v>
      </c>
      <c r="H195" t="str">
        <f>"Timd2"</f>
        <v>Timd2</v>
      </c>
      <c r="I195" t="str">
        <f>"T-cell immunoglobulin and mucin domain containing 2"</f>
        <v>T-cell immunoglobulin and mucin domain containing 2</v>
      </c>
      <c r="O195" s="3" t="e">
        <f>MATCH(A195,'actMatureT&amp;NK'!$A$6:$A$336,0)</f>
        <v>#N/A</v>
      </c>
      <c r="Q195" s="3" t="e">
        <f>MATCH(A195,'actImmT&amp;B'!$A$6:$A$879,0)</f>
        <v>#N/A</v>
      </c>
      <c r="S195" s="3">
        <f>MATCH(A195,'GC-Bcell vs actMatureT&amp;NK,MZ'!$A$6:$A$698,0)</f>
        <v>237</v>
      </c>
      <c r="U195" s="3">
        <f>MATCH(A195,'GC-Bcell vs actImmatureT&amp;B, MZ'!$A$6:$A$458,0)</f>
        <v>170</v>
      </c>
    </row>
    <row r="196" spans="1:21">
      <c r="A196">
        <v>10375909</v>
      </c>
      <c r="B196">
        <v>3.3167398272960802</v>
      </c>
      <c r="C196">
        <v>0.831463896232293</v>
      </c>
      <c r="E196" s="2">
        <v>10375909</v>
      </c>
      <c r="F196" t="str">
        <f t="shared" si="4"/>
        <v>Affy 1.0 ST</v>
      </c>
      <c r="G196" t="s">
        <v>791</v>
      </c>
      <c r="H196" t="str">
        <f>"Cdkl3"</f>
        <v>Cdkl3</v>
      </c>
      <c r="I196" t="str">
        <f>"cyclin-dependent kinase-like 3"</f>
        <v>cyclin-dependent kinase-like 3</v>
      </c>
      <c r="O196" s="3" t="e">
        <f>MATCH(A196,'actMatureT&amp;NK'!$A$6:$A$336,0)</f>
        <v>#N/A</v>
      </c>
      <c r="Q196" s="3" t="e">
        <f>MATCH(A196,'actImmT&amp;B'!$A$6:$A$879,0)</f>
        <v>#N/A</v>
      </c>
      <c r="S196" s="3">
        <f>MATCH(A196,'GC-Bcell vs actMatureT&amp;NK,MZ'!$A$6:$A$698,0)</f>
        <v>455</v>
      </c>
      <c r="U196" s="3">
        <f>MATCH(A196,'GC-Bcell vs actImmatureT&amp;B, MZ'!$A$6:$A$458,0)</f>
        <v>384</v>
      </c>
    </row>
    <row r="197" spans="1:21">
      <c r="A197">
        <v>10588294</v>
      </c>
      <c r="B197">
        <v>3.28405054345555</v>
      </c>
      <c r="C197">
        <v>1.05091605415222</v>
      </c>
      <c r="E197" s="2">
        <v>10588294</v>
      </c>
      <c r="F197" t="str">
        <f t="shared" si="4"/>
        <v>Affy 1.0 ST</v>
      </c>
      <c r="G197" t="s">
        <v>2226</v>
      </c>
      <c r="H197" t="str">
        <f>"Topbp1"</f>
        <v>Topbp1</v>
      </c>
      <c r="I197" t="str">
        <f>"topoisomerase (DNA) II binding protein 1"</f>
        <v>topoisomerase (DNA) II binding protein 1</v>
      </c>
      <c r="O197" s="3">
        <f>MATCH(A197,'actMatureT&amp;NK'!$A$6:$A$336,0)</f>
        <v>256</v>
      </c>
      <c r="Q197" s="3" t="e">
        <f>MATCH(A197,'actImmT&amp;B'!$A$6:$A$879,0)</f>
        <v>#N/A</v>
      </c>
      <c r="S197" s="3" t="e">
        <f>MATCH(A197,'GC-Bcell vs actMatureT&amp;NK,MZ'!$A$6:$A$698,0)</f>
        <v>#N/A</v>
      </c>
      <c r="U197" s="3" t="e">
        <f>MATCH(A197,'GC-Bcell vs actImmatureT&amp;B, MZ'!$A$6:$A$458,0)</f>
        <v>#N/A</v>
      </c>
    </row>
    <row r="198" spans="1:21">
      <c r="A198">
        <v>10467091</v>
      </c>
      <c r="B198">
        <v>3.2297457913367902</v>
      </c>
      <c r="C198">
        <v>0.98270074124671003</v>
      </c>
      <c r="E198" s="2">
        <v>10467091</v>
      </c>
      <c r="F198" t="str">
        <f t="shared" si="4"/>
        <v>Affy 1.0 ST</v>
      </c>
      <c r="G198" t="s">
        <v>519</v>
      </c>
      <c r="H198" t="str">
        <f>"Atad1"</f>
        <v>Atad1</v>
      </c>
      <c r="I198" t="s">
        <v>2069</v>
      </c>
      <c r="O198" s="3" t="e">
        <f>MATCH(A198,'actMatureT&amp;NK'!$A$6:$A$336,0)</f>
        <v>#N/A</v>
      </c>
      <c r="Q198" s="3" t="e">
        <f>MATCH(A198,'actImmT&amp;B'!$A$6:$A$879,0)</f>
        <v>#N/A</v>
      </c>
      <c r="S198" s="3">
        <f>MATCH(A198,'GC-Bcell vs actMatureT&amp;NK,MZ'!$A$6:$A$698,0)</f>
        <v>483</v>
      </c>
      <c r="U198" s="3" t="e">
        <f>MATCH(A198,'GC-Bcell vs actImmatureT&amp;B, MZ'!$A$6:$A$458,0)</f>
        <v>#N/A</v>
      </c>
    </row>
    <row r="199" spans="1:21">
      <c r="A199">
        <v>10512851</v>
      </c>
      <c r="B199">
        <v>3.1817127176953801</v>
      </c>
      <c r="C199">
        <v>0.88983743188964104</v>
      </c>
      <c r="E199" s="2">
        <v>10512851</v>
      </c>
      <c r="F199" t="str">
        <f t="shared" si="4"/>
        <v>Affy 1.0 ST</v>
      </c>
      <c r="G199" t="s">
        <v>805</v>
      </c>
      <c r="H199" t="str">
        <f>"Erp44"</f>
        <v>Erp44</v>
      </c>
      <c r="I199" t="str">
        <f>"endoplasmic reticulum protein 44"</f>
        <v>endoplasmic reticulum protein 44</v>
      </c>
      <c r="O199" s="3" t="e">
        <f>MATCH(A199,'actMatureT&amp;NK'!$A$6:$A$336,0)</f>
        <v>#N/A</v>
      </c>
      <c r="Q199" s="3" t="e">
        <f>MATCH(A199,'actImmT&amp;B'!$A$6:$A$879,0)</f>
        <v>#N/A</v>
      </c>
      <c r="S199" s="3">
        <f>MATCH(A199,'GC-Bcell vs actMatureT&amp;NK,MZ'!$A$6:$A$698,0)</f>
        <v>390</v>
      </c>
      <c r="U199" s="3">
        <f>MATCH(A199,'GC-Bcell vs actImmatureT&amp;B, MZ'!$A$6:$A$458,0)</f>
        <v>145</v>
      </c>
    </row>
    <row r="200" spans="1:21">
      <c r="A200">
        <v>10474437</v>
      </c>
      <c r="B200">
        <v>3.1696405002941401</v>
      </c>
      <c r="C200">
        <v>0.63977958028816895</v>
      </c>
      <c r="E200" s="2">
        <v>10474437</v>
      </c>
      <c r="F200" t="str">
        <f t="shared" si="4"/>
        <v>Affy 1.0 ST</v>
      </c>
      <c r="G200" t="s">
        <v>2227</v>
      </c>
      <c r="H200" t="str">
        <f>"Ccdc34"</f>
        <v>Ccdc34</v>
      </c>
      <c r="I200" t="str">
        <f>"coiled-coil domain containing 34"</f>
        <v>coiled-coil domain containing 34</v>
      </c>
      <c r="O200" s="3" t="e">
        <f>MATCH(A200,'actMatureT&amp;NK'!$A$6:$A$336,0)</f>
        <v>#N/A</v>
      </c>
      <c r="Q200" s="3">
        <f>MATCH(A200,'actImmT&amp;B'!$A$6:$A$879,0)</f>
        <v>264</v>
      </c>
      <c r="S200" s="3" t="e">
        <f>MATCH(A200,'GC-Bcell vs actMatureT&amp;NK,MZ'!$A$6:$A$698,0)</f>
        <v>#N/A</v>
      </c>
      <c r="U200" s="3" t="e">
        <f>MATCH(A200,'GC-Bcell vs actImmatureT&amp;B, MZ'!$A$6:$A$458,0)</f>
        <v>#N/A</v>
      </c>
    </row>
    <row r="201" spans="1:21">
      <c r="A201">
        <v>10426301</v>
      </c>
      <c r="B201">
        <v>3.15711619013942</v>
      </c>
      <c r="C201">
        <v>0.836370701966337</v>
      </c>
      <c r="E201" s="2">
        <v>10426301</v>
      </c>
      <c r="F201" t="str">
        <f>""</f>
        <v/>
      </c>
      <c r="G201" t="s">
        <v>2038</v>
      </c>
      <c r="O201" s="3" t="e">
        <f>MATCH(A201,'actMatureT&amp;NK'!$A$6:$A$336,0)</f>
        <v>#N/A</v>
      </c>
      <c r="Q201" s="3" t="e">
        <f>MATCH(A201,'actImmT&amp;B'!$A$6:$A$879,0)</f>
        <v>#N/A</v>
      </c>
      <c r="S201" s="3">
        <f>MATCH(A201,'GC-Bcell vs actMatureT&amp;NK,MZ'!$A$6:$A$698,0)</f>
        <v>354</v>
      </c>
      <c r="U201" s="3">
        <f>MATCH(A201,'GC-Bcell vs actImmatureT&amp;B, MZ'!$A$6:$A$458,0)</f>
        <v>286</v>
      </c>
    </row>
    <row r="202" spans="1:21">
      <c r="A202">
        <v>10476362</v>
      </c>
      <c r="B202">
        <v>3.1431584893447102</v>
      </c>
      <c r="C202">
        <v>0.66728561792899999</v>
      </c>
      <c r="E202" s="2">
        <v>10476362</v>
      </c>
      <c r="F202" t="str">
        <f>"Affy 1.0 ST"</f>
        <v>Affy 1.0 ST</v>
      </c>
      <c r="G202" t="s">
        <v>2228</v>
      </c>
      <c r="H202" t="str">
        <f>"Mcm8"</f>
        <v>Mcm8</v>
      </c>
      <c r="I202" t="str">
        <f>"minichromosome maintenance deficient 8 (S. cerevisiae)"</f>
        <v>minichromosome maintenance deficient 8 (S. cerevisiae)</v>
      </c>
      <c r="O202" s="3">
        <f>MATCH(A202,'actMatureT&amp;NK'!$A$6:$A$336,0)</f>
        <v>239</v>
      </c>
      <c r="Q202" s="3" t="e">
        <f>MATCH(A202,'actImmT&amp;B'!$A$6:$A$879,0)</f>
        <v>#N/A</v>
      </c>
      <c r="S202" s="3" t="e">
        <f>MATCH(A202,'GC-Bcell vs actMatureT&amp;NK,MZ'!$A$6:$A$698,0)</f>
        <v>#N/A</v>
      </c>
      <c r="U202" s="3" t="e">
        <f>MATCH(A202,'GC-Bcell vs actImmatureT&amp;B, MZ'!$A$6:$A$458,0)</f>
        <v>#N/A</v>
      </c>
    </row>
    <row r="203" spans="1:21">
      <c r="A203">
        <v>10506118</v>
      </c>
      <c r="B203">
        <v>3.1412117018994001</v>
      </c>
      <c r="C203">
        <v>0.84189999649346303</v>
      </c>
      <c r="E203" s="2">
        <v>10506118</v>
      </c>
      <c r="F203" t="str">
        <f>"Affy 1.0 ST"</f>
        <v>Affy 1.0 ST</v>
      </c>
      <c r="G203" t="s">
        <v>2229</v>
      </c>
      <c r="H203" t="str">
        <f>"Usp1"</f>
        <v>Usp1</v>
      </c>
      <c r="I203" t="str">
        <f>"ubiquitin specific peptidase 1"</f>
        <v>ubiquitin specific peptidase 1</v>
      </c>
      <c r="O203" s="3">
        <f>MATCH(A203,'actMatureT&amp;NK'!$A$6:$A$336,0)</f>
        <v>284</v>
      </c>
      <c r="Q203" s="3">
        <f>MATCH(A203,'actImmT&amp;B'!$A$6:$A$879,0)</f>
        <v>358</v>
      </c>
      <c r="S203" s="3" t="e">
        <f>MATCH(A203,'GC-Bcell vs actMatureT&amp;NK,MZ'!$A$6:$A$698,0)</f>
        <v>#N/A</v>
      </c>
      <c r="U203" s="3" t="e">
        <f>MATCH(A203,'GC-Bcell vs actImmatureT&amp;B, MZ'!$A$6:$A$458,0)</f>
        <v>#N/A</v>
      </c>
    </row>
    <row r="204" spans="1:21">
      <c r="A204">
        <v>10514383</v>
      </c>
      <c r="B204">
        <v>3.1084981808869001</v>
      </c>
      <c r="C204">
        <v>0.86799687922880997</v>
      </c>
      <c r="E204" s="2">
        <v>10514383</v>
      </c>
      <c r="F204" t="str">
        <f>""</f>
        <v/>
      </c>
      <c r="G204" t="s">
        <v>2038</v>
      </c>
      <c r="O204" s="3" t="e">
        <f>MATCH(A204,'actMatureT&amp;NK'!$A$6:$A$336,0)</f>
        <v>#N/A</v>
      </c>
      <c r="Q204" s="3">
        <f>MATCH(A204,'actImmT&amp;B'!$A$6:$A$879,0)</f>
        <v>500</v>
      </c>
      <c r="S204" s="3" t="e">
        <f>MATCH(A204,'GC-Bcell vs actMatureT&amp;NK,MZ'!$A$6:$A$698,0)</f>
        <v>#N/A</v>
      </c>
      <c r="U204" s="3" t="e">
        <f>MATCH(A204,'GC-Bcell vs actImmatureT&amp;B, MZ'!$A$6:$A$458,0)</f>
        <v>#N/A</v>
      </c>
    </row>
    <row r="205" spans="1:21">
      <c r="A205">
        <v>10582599</v>
      </c>
      <c r="B205">
        <v>3.07831207782655</v>
      </c>
      <c r="C205">
        <v>0.87194021405642796</v>
      </c>
      <c r="E205" s="2">
        <v>10582599</v>
      </c>
      <c r="F205" t="str">
        <f t="shared" ref="F205:F237" si="5">"Affy 1.0 ST"</f>
        <v>Affy 1.0 ST</v>
      </c>
      <c r="G205" t="s">
        <v>539</v>
      </c>
      <c r="H205" t="str">
        <f>"Nup133"</f>
        <v>Nup133</v>
      </c>
      <c r="I205" t="str">
        <f>"nucleoporin 133"</f>
        <v>nucleoporin 133</v>
      </c>
      <c r="O205" s="3" t="e">
        <f>MATCH(A205,'actMatureT&amp;NK'!$A$6:$A$336,0)</f>
        <v>#N/A</v>
      </c>
      <c r="Q205" s="3">
        <f>MATCH(A205,'actImmT&amp;B'!$A$6:$A$879,0)</f>
        <v>321</v>
      </c>
      <c r="S205" s="3">
        <f>MATCH(A205,'GC-Bcell vs actMatureT&amp;NK,MZ'!$A$6:$A$698,0)</f>
        <v>492</v>
      </c>
      <c r="U205" s="3" t="e">
        <f>MATCH(A205,'GC-Bcell vs actImmatureT&amp;B, MZ'!$A$6:$A$458,0)</f>
        <v>#N/A</v>
      </c>
    </row>
    <row r="206" spans="1:21">
      <c r="A206">
        <v>10523190</v>
      </c>
      <c r="B206">
        <v>3.07738065547698</v>
      </c>
      <c r="C206">
        <v>0.54193503020099498</v>
      </c>
      <c r="E206" s="2">
        <v>10523190</v>
      </c>
      <c r="F206" t="str">
        <f t="shared" si="5"/>
        <v>Affy 1.0 ST</v>
      </c>
      <c r="G206" t="s">
        <v>1085</v>
      </c>
      <c r="H206" t="str">
        <f>"Parm1"</f>
        <v>Parm1</v>
      </c>
      <c r="I206" t="str">
        <f>"prostate androgen-regulated mucin-like protein 1"</f>
        <v>prostate androgen-regulated mucin-like protein 1</v>
      </c>
      <c r="O206" s="3" t="e">
        <f>MATCH(A206,'actMatureT&amp;NK'!$A$6:$A$336,0)</f>
        <v>#N/A</v>
      </c>
      <c r="Q206" s="3" t="e">
        <f>MATCH(A206,'actImmT&amp;B'!$A$6:$A$879,0)</f>
        <v>#N/A</v>
      </c>
      <c r="S206" s="3">
        <f>MATCH(A206,'GC-Bcell vs actMatureT&amp;NK,MZ'!$A$6:$A$698,0)</f>
        <v>242</v>
      </c>
      <c r="U206" s="3">
        <f>MATCH(A206,'GC-Bcell vs actImmatureT&amp;B, MZ'!$A$6:$A$458,0)</f>
        <v>117</v>
      </c>
    </row>
    <row r="207" spans="1:21">
      <c r="A207">
        <v>10566067</v>
      </c>
      <c r="B207">
        <v>3.0687597654789198</v>
      </c>
      <c r="C207">
        <v>0.56764548757879196</v>
      </c>
      <c r="E207" s="2">
        <v>10566067</v>
      </c>
      <c r="F207" t="str">
        <f t="shared" si="5"/>
        <v>Affy 1.0 ST</v>
      </c>
      <c r="G207" t="s">
        <v>735</v>
      </c>
      <c r="H207" t="str">
        <f>"Rnf121"</f>
        <v>Rnf121</v>
      </c>
      <c r="I207" t="str">
        <f>"ring finger protein 121"</f>
        <v>ring finger protein 121</v>
      </c>
      <c r="O207" s="3" t="e">
        <f>MATCH(A207,'actMatureT&amp;NK'!$A$6:$A$336,0)</f>
        <v>#N/A</v>
      </c>
      <c r="Q207" s="3" t="e">
        <f>MATCH(A207,'actImmT&amp;B'!$A$6:$A$879,0)</f>
        <v>#N/A</v>
      </c>
      <c r="S207" s="3">
        <f>MATCH(A207,'GC-Bcell vs actMatureT&amp;NK,MZ'!$A$6:$A$698,0)</f>
        <v>363</v>
      </c>
      <c r="U207" s="3">
        <f>MATCH(A207,'GC-Bcell vs actImmatureT&amp;B, MZ'!$A$6:$A$458,0)</f>
        <v>217</v>
      </c>
    </row>
    <row r="208" spans="1:21">
      <c r="A208">
        <v>10546834</v>
      </c>
      <c r="B208">
        <v>2.99315711809977</v>
      </c>
      <c r="C208">
        <v>0.96851363706382598</v>
      </c>
      <c r="E208" s="2">
        <v>10546834</v>
      </c>
      <c r="F208" t="str">
        <f t="shared" si="5"/>
        <v>Affy 1.0 ST</v>
      </c>
      <c r="G208" t="s">
        <v>2230</v>
      </c>
      <c r="H208" t="str">
        <f>"Rad18"</f>
        <v>Rad18</v>
      </c>
      <c r="I208" t="str">
        <f>"RAD18 homolog (S. cerevisiae)"</f>
        <v>RAD18 homolog (S. cerevisiae)</v>
      </c>
      <c r="O208" s="3" t="e">
        <f>MATCH(A208,'actMatureT&amp;NK'!$A$6:$A$336,0)</f>
        <v>#N/A</v>
      </c>
      <c r="Q208" s="3">
        <f>MATCH(A208,'actImmT&amp;B'!$A$6:$A$879,0)</f>
        <v>315</v>
      </c>
      <c r="S208" s="3" t="e">
        <f>MATCH(A208,'GC-Bcell vs actMatureT&amp;NK,MZ'!$A$6:$A$698,0)</f>
        <v>#N/A</v>
      </c>
      <c r="U208" s="3" t="e">
        <f>MATCH(A208,'GC-Bcell vs actImmatureT&amp;B, MZ'!$A$6:$A$458,0)</f>
        <v>#N/A</v>
      </c>
    </row>
    <row r="209" spans="1:21">
      <c r="A209">
        <v>10375975</v>
      </c>
      <c r="B209">
        <v>2.99198105274596</v>
      </c>
      <c r="C209">
        <v>0.78115444597261297</v>
      </c>
      <c r="E209" s="2">
        <v>10375975</v>
      </c>
      <c r="F209" t="str">
        <f t="shared" si="5"/>
        <v>Affy 1.0 ST</v>
      </c>
      <c r="G209" t="s">
        <v>883</v>
      </c>
      <c r="H209" t="str">
        <f>"Zcchc10"</f>
        <v>Zcchc10</v>
      </c>
      <c r="I209" t="s">
        <v>2070</v>
      </c>
      <c r="O209" s="3" t="e">
        <f>MATCH(A209,'actMatureT&amp;NK'!$A$6:$A$336,0)</f>
        <v>#N/A</v>
      </c>
      <c r="Q209" s="3">
        <f>MATCH(A209,'actImmT&amp;B'!$A$6:$A$879,0)</f>
        <v>691</v>
      </c>
      <c r="S209" s="3">
        <f>MATCH(A209,'GC-Bcell vs actMatureT&amp;NK,MZ'!$A$6:$A$698,0)</f>
        <v>356</v>
      </c>
      <c r="U209" s="3">
        <f>MATCH(A209,'GC-Bcell vs actImmatureT&amp;B, MZ'!$A$6:$A$458,0)</f>
        <v>339</v>
      </c>
    </row>
    <row r="210" spans="1:21">
      <c r="A210">
        <v>10533090</v>
      </c>
      <c r="B210">
        <v>2.9477830084036198</v>
      </c>
      <c r="C210">
        <v>0.56038974680397302</v>
      </c>
      <c r="E210" s="2">
        <v>10533090</v>
      </c>
      <c r="F210" t="str">
        <f t="shared" si="5"/>
        <v>Affy 1.0 ST</v>
      </c>
      <c r="G210" t="s">
        <v>2231</v>
      </c>
      <c r="H210" t="str">
        <f>"Rfc5"</f>
        <v>Rfc5</v>
      </c>
      <c r="I210" t="str">
        <f>"replication factor C (activator 1) 5"</f>
        <v>replication factor C (activator 1) 5</v>
      </c>
      <c r="O210" s="3" t="e">
        <f>MATCH(A210,'actMatureT&amp;NK'!$A$6:$A$336,0)</f>
        <v>#N/A</v>
      </c>
      <c r="Q210" s="3" t="e">
        <f>MATCH(A210,'actImmT&amp;B'!$A$6:$A$879,0)</f>
        <v>#N/A</v>
      </c>
      <c r="S210" s="3" t="e">
        <f>MATCH(A210,'GC-Bcell vs actMatureT&amp;NK,MZ'!$A$6:$A$698,0)</f>
        <v>#N/A</v>
      </c>
      <c r="U210" s="3" t="e">
        <f>MATCH(A210,'GC-Bcell vs actImmatureT&amp;B, MZ'!$A$6:$A$458,0)</f>
        <v>#N/A</v>
      </c>
    </row>
    <row r="211" spans="1:21">
      <c r="A211">
        <v>10381548</v>
      </c>
      <c r="B211">
        <v>2.9216174402638102</v>
      </c>
      <c r="C211">
        <v>0.48551351257007902</v>
      </c>
      <c r="E211" s="2">
        <v>10381548</v>
      </c>
      <c r="F211" t="str">
        <f t="shared" si="5"/>
        <v>Affy 1.0 ST</v>
      </c>
      <c r="G211" t="s">
        <v>2232</v>
      </c>
      <c r="H211" t="str">
        <f>"BC030867"</f>
        <v>BC030867</v>
      </c>
      <c r="I211" t="str">
        <f>"cDNA sequence BC030867"</f>
        <v>cDNA sequence BC030867</v>
      </c>
      <c r="O211" s="3" t="e">
        <f>MATCH(A211,'actMatureT&amp;NK'!$A$6:$A$336,0)</f>
        <v>#N/A</v>
      </c>
      <c r="Q211" s="3">
        <f>MATCH(A211,'actImmT&amp;B'!$A$6:$A$879,0)</f>
        <v>304</v>
      </c>
      <c r="S211" s="3" t="e">
        <f>MATCH(A211,'GC-Bcell vs actMatureT&amp;NK,MZ'!$A$6:$A$698,0)</f>
        <v>#N/A</v>
      </c>
      <c r="U211" s="3" t="e">
        <f>MATCH(A211,'GC-Bcell vs actImmatureT&amp;B, MZ'!$A$6:$A$458,0)</f>
        <v>#N/A</v>
      </c>
    </row>
    <row r="212" spans="1:21">
      <c r="A212">
        <v>10549222</v>
      </c>
      <c r="B212">
        <v>2.9191866691720101</v>
      </c>
      <c r="C212">
        <v>0.42268833303682202</v>
      </c>
      <c r="E212" s="2">
        <v>10549222</v>
      </c>
      <c r="F212" t="str">
        <f t="shared" si="5"/>
        <v>Affy 1.0 ST</v>
      </c>
      <c r="G212" t="s">
        <v>2233</v>
      </c>
      <c r="H212" t="str">
        <f>"Bcat1"</f>
        <v>Bcat1</v>
      </c>
      <c r="I212" t="s">
        <v>2071</v>
      </c>
      <c r="O212" s="3" t="e">
        <f>MATCH(A212,'actMatureT&amp;NK'!$A$6:$A$336,0)</f>
        <v>#N/A</v>
      </c>
      <c r="Q212" s="3" t="e">
        <f>MATCH(A212,'actImmT&amp;B'!$A$6:$A$879,0)</f>
        <v>#N/A</v>
      </c>
      <c r="S212" s="3" t="e">
        <f>MATCH(A212,'GC-Bcell vs actMatureT&amp;NK,MZ'!$A$6:$A$698,0)</f>
        <v>#N/A</v>
      </c>
      <c r="U212" s="3" t="e">
        <f>MATCH(A212,'GC-Bcell vs actImmatureT&amp;B, MZ'!$A$6:$A$458,0)</f>
        <v>#N/A</v>
      </c>
    </row>
    <row r="213" spans="1:21">
      <c r="A213">
        <v>10592790</v>
      </c>
      <c r="B213">
        <v>2.8255778528445501</v>
      </c>
      <c r="C213">
        <v>0.52921255608600204</v>
      </c>
      <c r="E213" s="2">
        <v>10592790</v>
      </c>
      <c r="F213" t="str">
        <f t="shared" si="5"/>
        <v>Affy 1.0 ST</v>
      </c>
      <c r="G213" t="s">
        <v>1013</v>
      </c>
      <c r="H213" t="str">
        <f>"Hinfp"</f>
        <v>Hinfp</v>
      </c>
      <c r="I213" t="str">
        <f>"histone H4 transcription factor"</f>
        <v>histone H4 transcription factor</v>
      </c>
      <c r="O213" s="3" t="e">
        <f>MATCH(A213,'actMatureT&amp;NK'!$A$6:$A$336,0)</f>
        <v>#N/A</v>
      </c>
      <c r="Q213" s="3" t="e">
        <f>MATCH(A213,'actImmT&amp;B'!$A$6:$A$879,0)</f>
        <v>#N/A</v>
      </c>
      <c r="S213" s="3">
        <f>MATCH(A213,'GC-Bcell vs actMatureT&amp;NK,MZ'!$A$6:$A$698,0)</f>
        <v>342</v>
      </c>
      <c r="U213" s="3">
        <f>MATCH(A213,'GC-Bcell vs actImmatureT&amp;B, MZ'!$A$6:$A$458,0)</f>
        <v>342</v>
      </c>
    </row>
    <row r="214" spans="1:21">
      <c r="A214">
        <v>10571680</v>
      </c>
      <c r="B214">
        <v>2.8194965901427</v>
      </c>
      <c r="C214">
        <v>0.40867118249425399</v>
      </c>
      <c r="E214" s="2">
        <v>10571680</v>
      </c>
      <c r="F214" t="str">
        <f t="shared" si="5"/>
        <v>Affy 1.0 ST</v>
      </c>
      <c r="G214" t="s">
        <v>2234</v>
      </c>
      <c r="H214" t="str">
        <f>"Mlf1ip"</f>
        <v>Mlf1ip</v>
      </c>
      <c r="I214" t="str">
        <f>"myeloid leukemia factor 1 interacting protein"</f>
        <v>myeloid leukemia factor 1 interacting protein</v>
      </c>
      <c r="O214" s="3" t="e">
        <f>MATCH(A214,'actMatureT&amp;NK'!$A$6:$A$336,0)</f>
        <v>#N/A</v>
      </c>
      <c r="Q214" s="3">
        <f>MATCH(A214,'actImmT&amp;B'!$A$6:$A$879,0)</f>
        <v>377</v>
      </c>
      <c r="S214" s="3" t="e">
        <f>MATCH(A214,'GC-Bcell vs actMatureT&amp;NK,MZ'!$A$6:$A$698,0)</f>
        <v>#N/A</v>
      </c>
      <c r="U214" s="3" t="e">
        <f>MATCH(A214,'GC-Bcell vs actImmatureT&amp;B, MZ'!$A$6:$A$458,0)</f>
        <v>#N/A</v>
      </c>
    </row>
    <row r="215" spans="1:21">
      <c r="A215">
        <v>10502029</v>
      </c>
      <c r="B215">
        <v>2.8162048271163398</v>
      </c>
      <c r="C215">
        <v>0.58087005991046603</v>
      </c>
      <c r="E215" s="2">
        <v>10502029</v>
      </c>
      <c r="F215" t="str">
        <f t="shared" si="5"/>
        <v>Affy 1.0 ST</v>
      </c>
      <c r="G215" t="s">
        <v>2235</v>
      </c>
      <c r="H215" t="str">
        <f>"Larp7"</f>
        <v>Larp7</v>
      </c>
      <c r="I215" t="s">
        <v>2072</v>
      </c>
      <c r="O215" s="3" t="e">
        <f>MATCH(A215,'actMatureT&amp;NK'!$A$6:$A$336,0)</f>
        <v>#N/A</v>
      </c>
      <c r="Q215" s="3">
        <f>MATCH(A215,'actImmT&amp;B'!$A$6:$A$879,0)</f>
        <v>553</v>
      </c>
      <c r="S215" s="3" t="e">
        <f>MATCH(A215,'GC-Bcell vs actMatureT&amp;NK,MZ'!$A$6:$A$698,0)</f>
        <v>#N/A</v>
      </c>
      <c r="U215" s="3" t="e">
        <f>MATCH(A215,'GC-Bcell vs actImmatureT&amp;B, MZ'!$A$6:$A$458,0)</f>
        <v>#N/A</v>
      </c>
    </row>
    <row r="216" spans="1:21">
      <c r="A216">
        <v>10350090</v>
      </c>
      <c r="B216">
        <v>2.78031418098116</v>
      </c>
      <c r="C216">
        <v>0.49260968889045897</v>
      </c>
      <c r="E216" s="2">
        <v>10350090</v>
      </c>
      <c r="F216" t="str">
        <f t="shared" si="5"/>
        <v>Affy 1.0 ST</v>
      </c>
      <c r="G216" t="s">
        <v>868</v>
      </c>
      <c r="H216" t="str">
        <f>"Ube2t"</f>
        <v>Ube2t</v>
      </c>
      <c r="I216" t="str">
        <f>"ubiquitin-conjugating enzyme E2T (putative)"</f>
        <v>ubiquitin-conjugating enzyme E2T (putative)</v>
      </c>
      <c r="O216" s="3" t="e">
        <f>MATCH(A216,'actMatureT&amp;NK'!$A$6:$A$336,0)</f>
        <v>#N/A</v>
      </c>
      <c r="Q216" s="3">
        <f>MATCH(A216,'actImmT&amp;B'!$A$6:$A$879,0)</f>
        <v>331</v>
      </c>
      <c r="S216" s="3">
        <f>MATCH(A216,'GC-Bcell vs actMatureT&amp;NK,MZ'!$A$6:$A$698,0)</f>
        <v>350</v>
      </c>
      <c r="U216" s="3" t="e">
        <f>MATCH(A216,'GC-Bcell vs actImmatureT&amp;B, MZ'!$A$6:$A$458,0)</f>
        <v>#N/A</v>
      </c>
    </row>
    <row r="217" spans="1:21">
      <c r="A217">
        <v>10366277</v>
      </c>
      <c r="B217">
        <v>2.7487393067574399</v>
      </c>
      <c r="C217">
        <v>0.65709228805866704</v>
      </c>
      <c r="E217" s="2">
        <v>10366277</v>
      </c>
      <c r="F217" t="str">
        <f t="shared" si="5"/>
        <v>Affy 1.0 ST</v>
      </c>
      <c r="G217" t="s">
        <v>2236</v>
      </c>
      <c r="H217" t="str">
        <f>"E2f7"</f>
        <v>E2f7</v>
      </c>
      <c r="I217" t="str">
        <f>"E2F transcription factor 7"</f>
        <v>E2F transcription factor 7</v>
      </c>
      <c r="O217" s="3">
        <f>MATCH(A217,'actMatureT&amp;NK'!$A$6:$A$336,0)</f>
        <v>221</v>
      </c>
      <c r="Q217" s="3">
        <f>MATCH(A217,'actImmT&amp;B'!$A$6:$A$879,0)</f>
        <v>272</v>
      </c>
      <c r="S217" s="3" t="e">
        <f>MATCH(A217,'GC-Bcell vs actMatureT&amp;NK,MZ'!$A$6:$A$698,0)</f>
        <v>#N/A</v>
      </c>
      <c r="U217" s="3" t="e">
        <f>MATCH(A217,'GC-Bcell vs actImmatureT&amp;B, MZ'!$A$6:$A$458,0)</f>
        <v>#N/A</v>
      </c>
    </row>
    <row r="218" spans="1:21">
      <c r="A218">
        <v>10485562</v>
      </c>
      <c r="B218">
        <v>2.7157930070719498</v>
      </c>
      <c r="C218">
        <v>0.57326890567298106</v>
      </c>
      <c r="E218" s="2">
        <v>10485562</v>
      </c>
      <c r="F218" t="str">
        <f t="shared" si="5"/>
        <v>Affy 1.0 ST</v>
      </c>
      <c r="G218" t="s">
        <v>949</v>
      </c>
      <c r="H218" t="str">
        <f>"Hipk3"</f>
        <v>Hipk3</v>
      </c>
      <c r="I218" t="str">
        <f>"homeodomain interacting protein kinase 3"</f>
        <v>homeodomain interacting protein kinase 3</v>
      </c>
      <c r="O218" s="3" t="e">
        <f>MATCH(A218,'actMatureT&amp;NK'!$A$6:$A$336,0)</f>
        <v>#N/A</v>
      </c>
      <c r="Q218" s="3" t="e">
        <f>MATCH(A218,'actImmT&amp;B'!$A$6:$A$879,0)</f>
        <v>#N/A</v>
      </c>
      <c r="S218" s="3">
        <f>MATCH(A218,'GC-Bcell vs actMatureT&amp;NK,MZ'!$A$6:$A$698,0)</f>
        <v>321</v>
      </c>
      <c r="U218" s="3">
        <f>MATCH(A218,'GC-Bcell vs actImmatureT&amp;B, MZ'!$A$6:$A$458,0)</f>
        <v>212</v>
      </c>
    </row>
    <row r="219" spans="1:21">
      <c r="A219">
        <v>10385790</v>
      </c>
      <c r="B219">
        <v>2.7148967497582799</v>
      </c>
      <c r="C219">
        <v>0.60653788315672696</v>
      </c>
      <c r="E219" s="2">
        <v>10385790</v>
      </c>
      <c r="F219" t="str">
        <f t="shared" si="5"/>
        <v>Affy 1.0 ST</v>
      </c>
      <c r="G219" t="s">
        <v>348</v>
      </c>
      <c r="H219" t="str">
        <f>"Hspa4"</f>
        <v>Hspa4</v>
      </c>
      <c r="I219" t="str">
        <f>"heat shock protein 4"</f>
        <v>heat shock protein 4</v>
      </c>
      <c r="O219" s="3" t="e">
        <f>MATCH(A219,'actMatureT&amp;NK'!$A$6:$A$336,0)</f>
        <v>#N/A</v>
      </c>
      <c r="Q219" s="3" t="e">
        <f>MATCH(A219,'actImmT&amp;B'!$A$6:$A$879,0)</f>
        <v>#N/A</v>
      </c>
      <c r="S219" s="3">
        <f>MATCH(A219,'GC-Bcell vs actMatureT&amp;NK,MZ'!$A$6:$A$698,0)</f>
        <v>544</v>
      </c>
      <c r="U219" s="3" t="e">
        <f>MATCH(A219,'GC-Bcell vs actImmatureT&amp;B, MZ'!$A$6:$A$458,0)</f>
        <v>#N/A</v>
      </c>
    </row>
    <row r="220" spans="1:21">
      <c r="A220">
        <v>10437292</v>
      </c>
      <c r="B220">
        <v>2.6863103055872601</v>
      </c>
      <c r="C220">
        <v>0.78172422857773205</v>
      </c>
      <c r="E220" s="2">
        <v>10437292</v>
      </c>
      <c r="F220" t="str">
        <f t="shared" si="5"/>
        <v>Affy 1.0 ST</v>
      </c>
      <c r="G220" t="s">
        <v>298</v>
      </c>
      <c r="H220" t="str">
        <f>"Slx4"</f>
        <v>Slx4</v>
      </c>
      <c r="I220" t="str">
        <f>"SLX4 structure-specific endonuclease subunit homolog (S. cerevisiae)"</f>
        <v>SLX4 structure-specific endonuclease subunit homolog (S. cerevisiae)</v>
      </c>
      <c r="O220" s="3" t="e">
        <f>MATCH(A220,'actMatureT&amp;NK'!$A$6:$A$336,0)</f>
        <v>#N/A</v>
      </c>
      <c r="Q220" s="3" t="e">
        <f>MATCH(A220,'actImmT&amp;B'!$A$6:$A$879,0)</f>
        <v>#N/A</v>
      </c>
      <c r="S220" s="3">
        <f>MATCH(A220,'GC-Bcell vs actMatureT&amp;NK,MZ'!$A$6:$A$698,0)</f>
        <v>662</v>
      </c>
      <c r="U220" s="3" t="e">
        <f>MATCH(A220,'GC-Bcell vs actImmatureT&amp;B, MZ'!$A$6:$A$458,0)</f>
        <v>#N/A</v>
      </c>
    </row>
    <row r="221" spans="1:21">
      <c r="A221">
        <v>10514650</v>
      </c>
      <c r="B221">
        <v>2.64851873010273</v>
      </c>
      <c r="C221">
        <v>0.59785859404196295</v>
      </c>
      <c r="E221" s="2">
        <v>10514650</v>
      </c>
      <c r="F221" t="str">
        <f t="shared" si="5"/>
        <v>Affy 1.0 ST</v>
      </c>
      <c r="G221" t="s">
        <v>2237</v>
      </c>
      <c r="H221" t="str">
        <f>"Itgb3bp"</f>
        <v>Itgb3bp</v>
      </c>
      <c r="I221" t="str">
        <f>"integrin beta 3 binding protein (beta3-endonexin)"</f>
        <v>integrin beta 3 binding protein (beta3-endonexin)</v>
      </c>
      <c r="O221" s="3" t="e">
        <f>MATCH(A221,'actMatureT&amp;NK'!$A$6:$A$336,0)</f>
        <v>#N/A</v>
      </c>
      <c r="Q221" s="3" t="e">
        <f>MATCH(A221,'actImmT&amp;B'!$A$6:$A$879,0)</f>
        <v>#N/A</v>
      </c>
      <c r="S221" s="3" t="e">
        <f>MATCH(A221,'GC-Bcell vs actMatureT&amp;NK,MZ'!$A$6:$A$698,0)</f>
        <v>#N/A</v>
      </c>
      <c r="U221" s="3" t="e">
        <f>MATCH(A221,'GC-Bcell vs actImmatureT&amp;B, MZ'!$A$6:$A$458,0)</f>
        <v>#N/A</v>
      </c>
    </row>
    <row r="222" spans="1:21">
      <c r="A222">
        <v>10569181</v>
      </c>
      <c r="B222">
        <v>2.63902844716868</v>
      </c>
      <c r="C222">
        <v>0.39852322948959701</v>
      </c>
      <c r="E222" s="2">
        <v>10569181</v>
      </c>
      <c r="F222" t="str">
        <f t="shared" si="5"/>
        <v>Affy 1.0 ST</v>
      </c>
      <c r="G222" t="s">
        <v>2238</v>
      </c>
      <c r="H222" t="str">
        <f>"Lrdd"</f>
        <v>Lrdd</v>
      </c>
      <c r="I222" t="str">
        <f>"leucine-rich and death domain containing"</f>
        <v>leucine-rich and death domain containing</v>
      </c>
      <c r="O222" s="3">
        <f>MATCH(A222,'actMatureT&amp;NK'!$A$6:$A$336,0)</f>
        <v>310</v>
      </c>
      <c r="Q222" s="3">
        <f>MATCH(A222,'actImmT&amp;B'!$A$6:$A$879,0)</f>
        <v>459</v>
      </c>
      <c r="S222" s="3" t="e">
        <f>MATCH(A222,'GC-Bcell vs actMatureT&amp;NK,MZ'!$A$6:$A$698,0)</f>
        <v>#N/A</v>
      </c>
      <c r="U222" s="3" t="e">
        <f>MATCH(A222,'GC-Bcell vs actImmatureT&amp;B, MZ'!$A$6:$A$458,0)</f>
        <v>#N/A</v>
      </c>
    </row>
    <row r="223" spans="1:21">
      <c r="A223">
        <v>10593060</v>
      </c>
      <c r="B223">
        <v>2.62507937681668</v>
      </c>
      <c r="C223">
        <v>0.63574124964185696</v>
      </c>
      <c r="E223" s="2">
        <v>10593060</v>
      </c>
      <c r="F223" t="str">
        <f t="shared" si="5"/>
        <v>Affy 1.0 ST</v>
      </c>
      <c r="G223" t="s">
        <v>856</v>
      </c>
      <c r="H223" t="str">
        <f>"Cep164"</f>
        <v>Cep164</v>
      </c>
      <c r="I223" t="str">
        <f>"centrosomal protein 164"</f>
        <v>centrosomal protein 164</v>
      </c>
      <c r="O223" s="3" t="e">
        <f>MATCH(A223,'actMatureT&amp;NK'!$A$6:$A$336,0)</f>
        <v>#N/A</v>
      </c>
      <c r="Q223" s="3" t="e">
        <f>MATCH(A223,'actImmT&amp;B'!$A$6:$A$879,0)</f>
        <v>#N/A</v>
      </c>
      <c r="S223" s="3">
        <f>MATCH(A223,'GC-Bcell vs actMatureT&amp;NK,MZ'!$A$6:$A$698,0)</f>
        <v>346</v>
      </c>
      <c r="U223" s="3">
        <f>MATCH(A223,'GC-Bcell vs actImmatureT&amp;B, MZ'!$A$6:$A$458,0)</f>
        <v>325</v>
      </c>
    </row>
    <row r="224" spans="1:21">
      <c r="A224">
        <v>10365918</v>
      </c>
      <c r="B224">
        <v>2.6131399359118799</v>
      </c>
      <c r="C224">
        <v>0.70427553109169705</v>
      </c>
      <c r="E224" s="2">
        <v>10365918</v>
      </c>
      <c r="F224" t="str">
        <f t="shared" si="5"/>
        <v>Affy 1.0 ST</v>
      </c>
      <c r="G224" t="s">
        <v>2239</v>
      </c>
      <c r="H224" t="str">
        <f>"Ube2n"</f>
        <v>Ube2n</v>
      </c>
      <c r="I224" t="str">
        <f>"ubiquitin-conjugating enzyme E2N"</f>
        <v>ubiquitin-conjugating enzyme E2N</v>
      </c>
      <c r="O224" s="3" t="e">
        <f>MATCH(A224,'actMatureT&amp;NK'!$A$6:$A$336,0)</f>
        <v>#N/A</v>
      </c>
      <c r="Q224" s="3" t="e">
        <f>MATCH(A224,'actImmT&amp;B'!$A$6:$A$879,0)</f>
        <v>#N/A</v>
      </c>
      <c r="S224" s="3" t="e">
        <f>MATCH(A224,'GC-Bcell vs actMatureT&amp;NK,MZ'!$A$6:$A$698,0)</f>
        <v>#N/A</v>
      </c>
      <c r="U224" s="3" t="e">
        <f>MATCH(A224,'GC-Bcell vs actImmatureT&amp;B, MZ'!$A$6:$A$458,0)</f>
        <v>#N/A</v>
      </c>
    </row>
    <row r="225" spans="1:21">
      <c r="A225">
        <v>10599893</v>
      </c>
      <c r="B225">
        <v>2.5660028169306099</v>
      </c>
      <c r="C225">
        <v>0.60783415940077701</v>
      </c>
      <c r="E225" s="2">
        <v>10599893</v>
      </c>
      <c r="F225" t="str">
        <f t="shared" si="5"/>
        <v>Affy 1.0 ST</v>
      </c>
      <c r="G225" t="s">
        <v>2240</v>
      </c>
      <c r="H225" t="str">
        <f>"Fmr1"</f>
        <v>Fmr1</v>
      </c>
      <c r="I225" t="str">
        <f>"fragile X mental retardation syndrome 1 homolog"</f>
        <v>fragile X mental retardation syndrome 1 homolog</v>
      </c>
      <c r="O225" s="3" t="e">
        <f>MATCH(A225,'actMatureT&amp;NK'!$A$6:$A$336,0)</f>
        <v>#N/A</v>
      </c>
      <c r="Q225" s="3">
        <f>MATCH(A225,'actImmT&amp;B'!$A$6:$A$879,0)</f>
        <v>487</v>
      </c>
      <c r="S225" s="3" t="e">
        <f>MATCH(A225,'GC-Bcell vs actMatureT&amp;NK,MZ'!$A$6:$A$698,0)</f>
        <v>#N/A</v>
      </c>
      <c r="U225" s="3" t="e">
        <f>MATCH(A225,'GC-Bcell vs actImmatureT&amp;B, MZ'!$A$6:$A$458,0)</f>
        <v>#N/A</v>
      </c>
    </row>
    <row r="226" spans="1:21">
      <c r="A226">
        <v>10402981</v>
      </c>
      <c r="B226">
        <v>2.5589781932911899</v>
      </c>
      <c r="C226">
        <v>0.35126510081461398</v>
      </c>
      <c r="E226" s="2">
        <v>10402981</v>
      </c>
      <c r="F226" t="str">
        <f t="shared" si="5"/>
        <v>Affy 1.0 ST</v>
      </c>
      <c r="G226" t="s">
        <v>1004</v>
      </c>
      <c r="H226" t="str">
        <f>"Gm900"</f>
        <v>Gm900</v>
      </c>
      <c r="I226" t="str">
        <f>"predicted gene 900"</f>
        <v>predicted gene 900</v>
      </c>
      <c r="O226" s="3" t="e">
        <f>MATCH(A226,'actMatureT&amp;NK'!$A$6:$A$336,0)</f>
        <v>#N/A</v>
      </c>
      <c r="Q226" s="3" t="e">
        <f>MATCH(A226,'actImmT&amp;B'!$A$6:$A$879,0)</f>
        <v>#N/A</v>
      </c>
      <c r="S226" s="3">
        <f>MATCH(A226,'GC-Bcell vs actMatureT&amp;NK,MZ'!$A$6:$A$698,0)</f>
        <v>339</v>
      </c>
      <c r="U226" s="3">
        <f>MATCH(A226,'GC-Bcell vs actImmatureT&amp;B, MZ'!$A$6:$A$458,0)</f>
        <v>189</v>
      </c>
    </row>
    <row r="227" spans="1:21">
      <c r="A227">
        <v>10572301</v>
      </c>
      <c r="B227">
        <v>2.4542136935674201</v>
      </c>
      <c r="C227">
        <v>0.31275742893011599</v>
      </c>
      <c r="E227" s="2">
        <v>10572301</v>
      </c>
      <c r="F227" t="str">
        <f t="shared" si="5"/>
        <v>Affy 1.0 ST</v>
      </c>
      <c r="G227" t="s">
        <v>662</v>
      </c>
      <c r="H227" t="str">
        <f>"Mef2b"</f>
        <v>Mef2b</v>
      </c>
      <c r="I227" t="str">
        <f>"myocyte enhancer factor 2B"</f>
        <v>myocyte enhancer factor 2B</v>
      </c>
      <c r="O227" s="3" t="e">
        <f>MATCH(A227,'actMatureT&amp;NK'!$A$6:$A$336,0)</f>
        <v>#N/A</v>
      </c>
      <c r="Q227" s="3" t="e">
        <f>MATCH(A227,'actImmT&amp;B'!$A$6:$A$879,0)</f>
        <v>#N/A</v>
      </c>
      <c r="S227" s="3">
        <f>MATCH(A227,'GC-Bcell vs actMatureT&amp;NK,MZ'!$A$6:$A$698,0)</f>
        <v>404</v>
      </c>
      <c r="U227" s="3">
        <f>MATCH(A227,'GC-Bcell vs actImmatureT&amp;B, MZ'!$A$6:$A$458,0)</f>
        <v>201</v>
      </c>
    </row>
    <row r="228" spans="1:21">
      <c r="A228">
        <v>10555620</v>
      </c>
      <c r="B228">
        <v>2.3654024029927498</v>
      </c>
      <c r="C228">
        <v>0.51991383329651897</v>
      </c>
      <c r="E228" s="2">
        <v>10555620</v>
      </c>
      <c r="F228" t="str">
        <f t="shared" si="5"/>
        <v>Affy 1.0 ST</v>
      </c>
      <c r="G228" t="s">
        <v>2241</v>
      </c>
      <c r="H228" t="str">
        <f>"Trpc2"</f>
        <v>Trpc2</v>
      </c>
      <c r="I228" t="s">
        <v>2245</v>
      </c>
      <c r="O228" s="3" t="e">
        <f>MATCH(A228,'actMatureT&amp;NK'!$A$6:$A$336,0)</f>
        <v>#N/A</v>
      </c>
      <c r="Q228" s="3" t="e">
        <f>MATCH(A228,'actImmT&amp;B'!$A$6:$A$879,0)</f>
        <v>#N/A</v>
      </c>
      <c r="S228" s="3" t="e">
        <f>MATCH(A228,'GC-Bcell vs actMatureT&amp;NK,MZ'!$A$6:$A$698,0)</f>
        <v>#N/A</v>
      </c>
      <c r="U228" s="3" t="e">
        <f>MATCH(A228,'GC-Bcell vs actImmatureT&amp;B, MZ'!$A$6:$A$458,0)</f>
        <v>#N/A</v>
      </c>
    </row>
    <row r="229" spans="1:21">
      <c r="A229">
        <v>10348521</v>
      </c>
      <c r="B229">
        <v>2.3526379383757701</v>
      </c>
      <c r="C229">
        <v>0.27072500736233701</v>
      </c>
      <c r="E229" s="2">
        <v>10348521</v>
      </c>
      <c r="F229" t="str">
        <f t="shared" si="5"/>
        <v>Affy 1.0 ST</v>
      </c>
      <c r="G229" t="s">
        <v>2242</v>
      </c>
      <c r="H229" t="str">
        <f>"Rbm44"</f>
        <v>Rbm44</v>
      </c>
      <c r="I229" t="str">
        <f>"RNA binding motif protein 44"</f>
        <v>RNA binding motif protein 44</v>
      </c>
      <c r="O229" s="3" t="e">
        <f>MATCH(A229,'actMatureT&amp;NK'!$A$6:$A$336,0)</f>
        <v>#N/A</v>
      </c>
      <c r="Q229" s="3">
        <f>MATCH(A229,'actImmT&amp;B'!$A$6:$A$879,0)</f>
        <v>421</v>
      </c>
      <c r="S229" s="3" t="e">
        <f>MATCH(A229,'GC-Bcell vs actMatureT&amp;NK,MZ'!$A$6:$A$698,0)</f>
        <v>#N/A</v>
      </c>
      <c r="U229" s="3" t="e">
        <f>MATCH(A229,'GC-Bcell vs actImmatureT&amp;B, MZ'!$A$6:$A$458,0)</f>
        <v>#N/A</v>
      </c>
    </row>
    <row r="230" spans="1:21">
      <c r="A230">
        <v>10594758</v>
      </c>
      <c r="B230">
        <v>2.3428304056051199</v>
      </c>
      <c r="C230">
        <v>0.27739320411826401</v>
      </c>
      <c r="E230" s="2">
        <v>10594758</v>
      </c>
      <c r="F230" t="str">
        <f t="shared" si="5"/>
        <v>Affy 1.0 ST</v>
      </c>
      <c r="G230" t="s">
        <v>976</v>
      </c>
      <c r="H230" t="str">
        <f>"Gcnt3"</f>
        <v>Gcnt3</v>
      </c>
      <c r="I230" t="s">
        <v>2246</v>
      </c>
      <c r="O230" s="3" t="e">
        <f>MATCH(A230,'actMatureT&amp;NK'!$A$6:$A$336,0)</f>
        <v>#N/A</v>
      </c>
      <c r="Q230" s="3" t="e">
        <f>MATCH(A230,'actImmT&amp;B'!$A$6:$A$879,0)</f>
        <v>#N/A</v>
      </c>
      <c r="S230" s="3">
        <f>MATCH(A230,'GC-Bcell vs actMatureT&amp;NK,MZ'!$A$6:$A$698,0)</f>
        <v>394</v>
      </c>
      <c r="U230" s="3">
        <f>MATCH(A230,'GC-Bcell vs actImmatureT&amp;B, MZ'!$A$6:$A$458,0)</f>
        <v>236</v>
      </c>
    </row>
    <row r="231" spans="1:21">
      <c r="A231">
        <v>10397717</v>
      </c>
      <c r="B231">
        <v>2.3350862944879802</v>
      </c>
      <c r="C231">
        <v>0.34961062330922499</v>
      </c>
      <c r="E231" s="2">
        <v>10397717</v>
      </c>
      <c r="F231" t="str">
        <f t="shared" si="5"/>
        <v>Affy 1.0 ST</v>
      </c>
      <c r="G231" t="s">
        <v>536</v>
      </c>
      <c r="H231" t="str">
        <f>"Tdp1"</f>
        <v>Tdp1</v>
      </c>
      <c r="I231" t="str">
        <f>"tyrosyl-DNA phosphodiesterase 1"</f>
        <v>tyrosyl-DNA phosphodiesterase 1</v>
      </c>
      <c r="O231" s="3" t="e">
        <f>MATCH(A231,'actMatureT&amp;NK'!$A$6:$A$336,0)</f>
        <v>#N/A</v>
      </c>
      <c r="Q231" s="3">
        <f>MATCH(A231,'actImmT&amp;B'!$A$6:$A$879,0)</f>
        <v>818</v>
      </c>
      <c r="S231" s="3">
        <f>MATCH(A231,'GC-Bcell vs actMatureT&amp;NK,MZ'!$A$6:$A$698,0)</f>
        <v>491</v>
      </c>
      <c r="U231" s="3" t="e">
        <f>MATCH(A231,'GC-Bcell vs actImmatureT&amp;B, MZ'!$A$6:$A$458,0)</f>
        <v>#N/A</v>
      </c>
    </row>
    <row r="232" spans="1:21">
      <c r="A232">
        <v>10344633</v>
      </c>
      <c r="B232">
        <v>2.3268037563594302</v>
      </c>
      <c r="C232">
        <v>0.354098543685955</v>
      </c>
      <c r="E232" s="2">
        <v>10344633</v>
      </c>
      <c r="F232" t="str">
        <f t="shared" si="5"/>
        <v>Affy 1.0 ST</v>
      </c>
      <c r="G232" t="s">
        <v>545</v>
      </c>
      <c r="H232" t="str">
        <f>"Tcea1"</f>
        <v>Tcea1</v>
      </c>
      <c r="I232" t="str">
        <f>"transcription elongation factor A (SII) 1"</f>
        <v>transcription elongation factor A (SII) 1</v>
      </c>
      <c r="O232" s="3" t="e">
        <f>MATCH(A232,'actMatureT&amp;NK'!$A$6:$A$336,0)</f>
        <v>#N/A</v>
      </c>
      <c r="Q232" s="3" t="e">
        <f>MATCH(A232,'actImmT&amp;B'!$A$6:$A$879,0)</f>
        <v>#N/A</v>
      </c>
      <c r="S232" s="3">
        <f>MATCH(A232,'GC-Bcell vs actMatureT&amp;NK,MZ'!$A$6:$A$698,0)</f>
        <v>495</v>
      </c>
      <c r="U232" s="3">
        <f>MATCH(A232,'GC-Bcell vs actImmatureT&amp;B, MZ'!$A$6:$A$458,0)</f>
        <v>337</v>
      </c>
    </row>
    <row r="233" spans="1:21">
      <c r="A233">
        <v>10585680</v>
      </c>
      <c r="B233">
        <v>2.2848579626711998</v>
      </c>
      <c r="C233">
        <v>0.336048499293506</v>
      </c>
      <c r="E233" s="2">
        <v>10585680</v>
      </c>
      <c r="F233" t="str">
        <f t="shared" si="5"/>
        <v>Affy 1.0 ST</v>
      </c>
      <c r="G233" t="s">
        <v>952</v>
      </c>
      <c r="H233" t="str">
        <f>"Gm16493"</f>
        <v>Gm16493</v>
      </c>
      <c r="I233" t="str">
        <f>"predicted gene 16493"</f>
        <v>predicted gene 16493</v>
      </c>
      <c r="O233" s="3" t="e">
        <f>MATCH(A233,'actMatureT&amp;NK'!$A$6:$A$336,0)</f>
        <v>#N/A</v>
      </c>
      <c r="Q233" s="3" t="e">
        <f>MATCH(A233,'actImmT&amp;B'!$A$6:$A$879,0)</f>
        <v>#N/A</v>
      </c>
      <c r="S233" s="3">
        <f>MATCH(A233,'GC-Bcell vs actMatureT&amp;NK,MZ'!$A$6:$A$698,0)</f>
        <v>382</v>
      </c>
      <c r="U233" s="3">
        <f>MATCH(A233,'GC-Bcell vs actImmatureT&amp;B, MZ'!$A$6:$A$458,0)</f>
        <v>349</v>
      </c>
    </row>
    <row r="234" spans="1:21">
      <c r="A234">
        <v>10550131</v>
      </c>
      <c r="B234">
        <v>2.25761799273667</v>
      </c>
      <c r="C234">
        <v>0.23857284831536299</v>
      </c>
      <c r="E234" s="2">
        <v>10550131</v>
      </c>
      <c r="F234" t="str">
        <f t="shared" si="5"/>
        <v>Affy 1.0 ST</v>
      </c>
      <c r="G234" t="s">
        <v>2243</v>
      </c>
      <c r="H234" t="str">
        <f>"Pla2g4c"</f>
        <v>Pla2g4c</v>
      </c>
      <c r="I234" t="s">
        <v>2247</v>
      </c>
      <c r="O234" s="3" t="e">
        <f>MATCH(A234,'actMatureT&amp;NK'!$A$6:$A$336,0)</f>
        <v>#N/A</v>
      </c>
      <c r="Q234" s="3" t="e">
        <f>MATCH(A234,'actImmT&amp;B'!$A$6:$A$879,0)</f>
        <v>#N/A</v>
      </c>
      <c r="S234" s="3" t="e">
        <f>MATCH(A234,'GC-Bcell vs actMatureT&amp;NK,MZ'!$A$6:$A$698,0)</f>
        <v>#N/A</v>
      </c>
      <c r="U234" s="3" t="e">
        <f>MATCH(A234,'GC-Bcell vs actImmatureT&amp;B, MZ'!$A$6:$A$458,0)</f>
        <v>#N/A</v>
      </c>
    </row>
    <row r="235" spans="1:21">
      <c r="A235">
        <v>10511042</v>
      </c>
      <c r="B235">
        <v>2.25660716638443</v>
      </c>
      <c r="C235">
        <v>0.30149811896754197</v>
      </c>
      <c r="E235" s="2">
        <v>10511042</v>
      </c>
      <c r="F235" t="str">
        <f t="shared" si="5"/>
        <v>Affy 1.0 ST</v>
      </c>
      <c r="G235" t="s">
        <v>770</v>
      </c>
      <c r="H235" t="str">
        <f>"C030017K20Rik"</f>
        <v>C030017K20Rik</v>
      </c>
      <c r="I235" t="str">
        <f>"RIKEN cDNA C030017K20 gene"</f>
        <v>RIKEN cDNA C030017K20 gene</v>
      </c>
      <c r="O235" s="3" t="e">
        <f>MATCH(A235,'actMatureT&amp;NK'!$A$6:$A$336,0)</f>
        <v>#N/A</v>
      </c>
      <c r="Q235" s="3" t="e">
        <f>MATCH(A235,'actImmT&amp;B'!$A$6:$A$879,0)</f>
        <v>#N/A</v>
      </c>
      <c r="S235" s="3">
        <f>MATCH(A235,'GC-Bcell vs actMatureT&amp;NK,MZ'!$A$6:$A$698,0)</f>
        <v>376</v>
      </c>
      <c r="U235" s="3">
        <f>MATCH(A235,'GC-Bcell vs actImmatureT&amp;B, MZ'!$A$6:$A$458,0)</f>
        <v>247</v>
      </c>
    </row>
    <row r="236" spans="1:21">
      <c r="A236">
        <v>10594812</v>
      </c>
      <c r="B236">
        <v>2.2302687964655799</v>
      </c>
      <c r="C236">
        <v>0.25835526480913301</v>
      </c>
      <c r="E236" s="2">
        <v>10594812</v>
      </c>
      <c r="F236" t="str">
        <f t="shared" si="5"/>
        <v>Affy 1.0 ST</v>
      </c>
      <c r="G236" t="s">
        <v>693</v>
      </c>
      <c r="H236" t="str">
        <f>"Lipc"</f>
        <v>Lipc</v>
      </c>
      <c r="I236" t="s">
        <v>2248</v>
      </c>
      <c r="O236" s="3" t="e">
        <f>MATCH(A236,'actMatureT&amp;NK'!$A$6:$A$336,0)</f>
        <v>#N/A</v>
      </c>
      <c r="Q236" s="3" t="e">
        <f>MATCH(A236,'actImmT&amp;B'!$A$6:$A$879,0)</f>
        <v>#N/A</v>
      </c>
      <c r="S236" s="3">
        <f>MATCH(A236,'GC-Bcell vs actMatureT&amp;NK,MZ'!$A$6:$A$698,0)</f>
        <v>416</v>
      </c>
      <c r="U236" s="3">
        <f>MATCH(A236,'GC-Bcell vs actImmatureT&amp;B, MZ'!$A$6:$A$458,0)</f>
        <v>224</v>
      </c>
    </row>
    <row r="237" spans="1:21">
      <c r="A237">
        <v>10587495</v>
      </c>
      <c r="B237">
        <v>2.1202039781801298</v>
      </c>
      <c r="C237">
        <v>0.237169455844777</v>
      </c>
      <c r="E237" s="2">
        <v>10587495</v>
      </c>
      <c r="F237" t="str">
        <f t="shared" si="5"/>
        <v>Affy 1.0 ST</v>
      </c>
      <c r="G237" t="s">
        <v>555</v>
      </c>
      <c r="H237" t="str">
        <f>"Irak1bp1"</f>
        <v>Irak1bp1</v>
      </c>
      <c r="I237" t="str">
        <f>"interleukin-1 receptor-associated kinase 1 binding protein 1"</f>
        <v>interleukin-1 receptor-associated kinase 1 binding protein 1</v>
      </c>
      <c r="O237" s="3" t="e">
        <f>MATCH(A237,'actMatureT&amp;NK'!$A$6:$A$336,0)</f>
        <v>#N/A</v>
      </c>
      <c r="Q237" s="3" t="e">
        <f>MATCH(A237,'actImmT&amp;B'!$A$6:$A$879,0)</f>
        <v>#N/A</v>
      </c>
      <c r="S237" s="3">
        <f>MATCH(A237,'GC-Bcell vs actMatureT&amp;NK,MZ'!$A$6:$A$698,0)</f>
        <v>498</v>
      </c>
      <c r="U237" s="3" t="e">
        <f>MATCH(A237,'GC-Bcell vs actImmatureT&amp;B, MZ'!$A$6:$A$458,0)</f>
        <v>#N/A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336"/>
  <sheetViews>
    <sheetView workbookViewId="0">
      <selection activeCell="A3" sqref="A3:H3"/>
    </sheetView>
  </sheetViews>
  <sheetFormatPr baseColWidth="10" defaultRowHeight="13"/>
  <sheetData>
    <row r="3" spans="1:11">
      <c r="A3" s="1" t="s">
        <v>1998</v>
      </c>
    </row>
    <row r="5" spans="1:11">
      <c r="B5" t="s">
        <v>2249</v>
      </c>
      <c r="C5" t="s">
        <v>2250</v>
      </c>
      <c r="F5" t="str">
        <f>"Input"</f>
        <v>Input</v>
      </c>
      <c r="G5" t="str">
        <f>"Input type"</f>
        <v>Input type</v>
      </c>
      <c r="H5" t="str">
        <f>"MGI Gene/Marker ID"</f>
        <v>MGI Gene/Marker ID</v>
      </c>
      <c r="I5" t="str">
        <f>"Symbol"</f>
        <v>Symbol</v>
      </c>
      <c r="J5" t="str">
        <f>"Name"</f>
        <v>Name</v>
      </c>
      <c r="K5" t="str">
        <f>"Feature Type"</f>
        <v>Feature Type</v>
      </c>
    </row>
    <row r="6" spans="1:11">
      <c r="A6">
        <v>10568714</v>
      </c>
      <c r="B6">
        <v>28.4065693016843</v>
      </c>
      <c r="C6">
        <v>15.2668585287034</v>
      </c>
      <c r="E6" t="str">
        <f>"10568714"</f>
        <v>10568714</v>
      </c>
      <c r="F6" t="str">
        <f t="shared" ref="F6:F69" si="0">"Affy 1.0 ST"</f>
        <v>Affy 1.0 ST</v>
      </c>
      <c r="G6" t="str">
        <f>"MGI:106035"</f>
        <v>MGI:106035</v>
      </c>
      <c r="H6" t="str">
        <f>"Mki67"</f>
        <v>Mki67</v>
      </c>
      <c r="I6" t="str">
        <f>"antigen identified by monoclonal antibody Ki 67"</f>
        <v>antigen identified by monoclonal antibody Ki 67</v>
      </c>
      <c r="J6" t="str">
        <f>"protein coding gene"</f>
        <v>protein coding gene</v>
      </c>
    </row>
    <row r="7" spans="1:11">
      <c r="A7">
        <v>10497831</v>
      </c>
      <c r="B7">
        <v>27.169652407869702</v>
      </c>
      <c r="C7">
        <v>19.667195312449302</v>
      </c>
      <c r="E7" t="str">
        <f>"10497831"</f>
        <v>10497831</v>
      </c>
      <c r="F7" t="str">
        <f t="shared" si="0"/>
        <v>Affy 1.0 ST</v>
      </c>
      <c r="G7" t="str">
        <f>"MGI:108069"</f>
        <v>MGI:108069</v>
      </c>
      <c r="H7" t="str">
        <f>"Ccna2"</f>
        <v>Ccna2</v>
      </c>
      <c r="I7" t="str">
        <f>"cyclin A2"</f>
        <v>cyclin A2</v>
      </c>
      <c r="J7" t="str">
        <f>"protein coding gene"</f>
        <v>protein coding gene</v>
      </c>
    </row>
    <row r="8" spans="1:11">
      <c r="A8">
        <v>10586448</v>
      </c>
      <c r="B8">
        <v>27.1585977626704</v>
      </c>
      <c r="C8">
        <v>21.097167241271698</v>
      </c>
      <c r="E8" t="str">
        <f>"10586448"</f>
        <v>10586448</v>
      </c>
      <c r="F8" t="str">
        <f t="shared" si="0"/>
        <v>Affy 1.0 ST</v>
      </c>
      <c r="G8" t="str">
        <f>"MGI:1915276"</f>
        <v>MGI:1915276</v>
      </c>
      <c r="H8" t="str">
        <f>"2810417H13Rik"</f>
        <v>2810417H13Rik</v>
      </c>
      <c r="I8" t="str">
        <f>"RIKEN cDNA 2810417H13 gene"</f>
        <v>RIKEN cDNA 2810417H13 gene</v>
      </c>
      <c r="J8" t="str">
        <f>"protein coding gene"</f>
        <v>protein coding gene</v>
      </c>
    </row>
    <row r="9" spans="1:11">
      <c r="A9">
        <v>10408081</v>
      </c>
      <c r="B9">
        <v>26.601003968995101</v>
      </c>
      <c r="C9">
        <v>16.646686606522099</v>
      </c>
      <c r="E9" t="str">
        <f>"10408081"</f>
        <v>10408081</v>
      </c>
      <c r="F9" t="str">
        <f t="shared" si="0"/>
        <v>Affy 1.0 ST</v>
      </c>
      <c r="G9" t="str">
        <f>"MGI:1861461"</f>
        <v>MGI:1861461</v>
      </c>
      <c r="H9" t="str">
        <f>"Hist1h1b"</f>
        <v>Hist1h1b</v>
      </c>
      <c r="I9" t="s">
        <v>2009</v>
      </c>
      <c r="J9" t="s">
        <v>2010</v>
      </c>
    </row>
    <row r="10" spans="1:11">
      <c r="A10">
        <v>10390707</v>
      </c>
      <c r="B10">
        <v>24.6254400361276</v>
      </c>
      <c r="C10">
        <v>9.1496987815551201</v>
      </c>
      <c r="E10" t="str">
        <f>"10390707"</f>
        <v>10390707</v>
      </c>
      <c r="F10" t="str">
        <f t="shared" si="0"/>
        <v>Affy 1.0 ST</v>
      </c>
      <c r="G10" t="str">
        <f>"MGI:98790"</f>
        <v>MGI:98790</v>
      </c>
      <c r="H10" t="str">
        <f>"Top2a"</f>
        <v>Top2a</v>
      </c>
      <c r="I10" t="str">
        <f>"topoisomerase (DNA) II alpha"</f>
        <v>topoisomerase (DNA) II alpha</v>
      </c>
      <c r="J10" t="str">
        <f>"protein coding gene"</f>
        <v>protein coding gene</v>
      </c>
    </row>
    <row r="11" spans="1:11">
      <c r="A11">
        <v>10462796</v>
      </c>
      <c r="B11">
        <v>24.237035036989401</v>
      </c>
      <c r="C11">
        <v>16.687360489661099</v>
      </c>
      <c r="E11" t="str">
        <f>"10462796"</f>
        <v>10462796</v>
      </c>
      <c r="F11" t="str">
        <f t="shared" si="0"/>
        <v>Affy 1.0 ST</v>
      </c>
      <c r="G11" t="str">
        <f>"MGI:1098231"</f>
        <v>MGI:1098231</v>
      </c>
      <c r="H11" t="str">
        <f>"Kif11"</f>
        <v>Kif11</v>
      </c>
      <c r="I11" t="str">
        <f>"kinesin family member 11"</f>
        <v>kinesin family member 11</v>
      </c>
      <c r="J11" t="str">
        <f>"protein coding gene"</f>
        <v>protein coding gene</v>
      </c>
    </row>
    <row r="12" spans="1:11">
      <c r="A12">
        <v>10399087</v>
      </c>
      <c r="B12">
        <v>24.010081882885402</v>
      </c>
      <c r="C12">
        <v>15.7851495742396</v>
      </c>
      <c r="E12" t="str">
        <f>"10399087"</f>
        <v>10399087</v>
      </c>
      <c r="F12" t="str">
        <f t="shared" si="0"/>
        <v>Affy 1.0 ST</v>
      </c>
      <c r="G12" t="str">
        <f>"MGI:1923294"</f>
        <v>MGI:1923294</v>
      </c>
      <c r="H12" t="str">
        <f>"Ncapg2"</f>
        <v>Ncapg2</v>
      </c>
      <c r="I12" t="s">
        <v>2079</v>
      </c>
      <c r="J12" t="s">
        <v>2010</v>
      </c>
    </row>
    <row r="13" spans="1:11">
      <c r="A13">
        <v>10487480</v>
      </c>
      <c r="B13">
        <v>22.2957548180153</v>
      </c>
      <c r="C13">
        <v>17.2697151146671</v>
      </c>
      <c r="E13" t="str">
        <f>"10487480"</f>
        <v>10487480</v>
      </c>
      <c r="F13" t="str">
        <f t="shared" si="0"/>
        <v>Affy 1.0 ST</v>
      </c>
      <c r="G13" t="str">
        <f>"MGI:1100510"</f>
        <v>MGI:1100510</v>
      </c>
      <c r="H13" t="str">
        <f>"Bub1"</f>
        <v>Bub1</v>
      </c>
      <c r="I13" t="str">
        <f>"budding uninhibited by benzimidazoles 1 homolog (S. cerevisiae)"</f>
        <v>budding uninhibited by benzimidazoles 1 homolog (S. cerevisiae)</v>
      </c>
      <c r="J13" t="str">
        <f>"protein coding gene"</f>
        <v>protein coding gene</v>
      </c>
    </row>
    <row r="14" spans="1:11">
      <c r="A14">
        <v>10521731</v>
      </c>
      <c r="B14">
        <v>19.222574922871701</v>
      </c>
      <c r="C14">
        <v>13.6303910762797</v>
      </c>
      <c r="E14" t="str">
        <f>"10521731"</f>
        <v>10521731</v>
      </c>
      <c r="F14" t="str">
        <f t="shared" si="0"/>
        <v>Affy 1.0 ST</v>
      </c>
      <c r="G14" t="str">
        <f>"MGI:1930197"</f>
        <v>MGI:1930197</v>
      </c>
      <c r="H14" t="str">
        <f>"Ncapg"</f>
        <v>Ncapg</v>
      </c>
      <c r="I14" t="s">
        <v>2077</v>
      </c>
      <c r="J14" t="s">
        <v>2010</v>
      </c>
    </row>
    <row r="15" spans="1:11">
      <c r="A15">
        <v>10594774</v>
      </c>
      <c r="B15">
        <v>17.9363063495856</v>
      </c>
      <c r="C15">
        <v>15.9920519691342</v>
      </c>
      <c r="E15" t="str">
        <f>"10594774"</f>
        <v>10594774</v>
      </c>
      <c r="F15" t="str">
        <f t="shared" si="0"/>
        <v>Affy 1.0 ST</v>
      </c>
      <c r="G15" t="str">
        <f>"MGI:88311"</f>
        <v>MGI:88311</v>
      </c>
      <c r="H15" t="str">
        <f>"Ccnb2"</f>
        <v>Ccnb2</v>
      </c>
      <c r="I15" t="str">
        <f>"cyclin B2"</f>
        <v>cyclin B2</v>
      </c>
      <c r="J15" t="str">
        <f>"protein coding gene"</f>
        <v>protein coding gene</v>
      </c>
    </row>
    <row r="16" spans="1:11">
      <c r="A16">
        <v>10394978</v>
      </c>
      <c r="B16">
        <v>17.285360885108499</v>
      </c>
      <c r="C16">
        <v>12.6430146128031</v>
      </c>
      <c r="E16" t="str">
        <f>"10394978"</f>
        <v>10394978</v>
      </c>
      <c r="F16" t="str">
        <f t="shared" si="0"/>
        <v>Affy 1.0 ST</v>
      </c>
      <c r="G16" t="str">
        <f>"MGI:98181"</f>
        <v>MGI:98181</v>
      </c>
      <c r="H16" t="str">
        <f>"Rrm2"</f>
        <v>Rrm2</v>
      </c>
      <c r="I16" t="str">
        <f>"ribonucleotide reductase M2"</f>
        <v>ribonucleotide reductase M2</v>
      </c>
      <c r="J16" t="str">
        <f>"protein coding gene"</f>
        <v>protein coding gene</v>
      </c>
    </row>
    <row r="17" spans="1:10">
      <c r="A17">
        <v>10477187</v>
      </c>
      <c r="B17">
        <v>14.761533823149399</v>
      </c>
      <c r="C17">
        <v>9.0465588682392095</v>
      </c>
      <c r="E17" t="str">
        <f>"10477187"</f>
        <v>10477187</v>
      </c>
      <c r="F17" t="str">
        <f t="shared" si="0"/>
        <v>Affy 1.0 ST</v>
      </c>
      <c r="G17" t="str">
        <f>"MGI:1919369"</f>
        <v>MGI:1919369</v>
      </c>
      <c r="H17" t="str">
        <f>"Tpx2"</f>
        <v>Tpx2</v>
      </c>
      <c r="I17" t="s">
        <v>2011</v>
      </c>
      <c r="J17" t="s">
        <v>2010</v>
      </c>
    </row>
    <row r="18" spans="1:10">
      <c r="A18">
        <v>10590494</v>
      </c>
      <c r="B18">
        <v>14.3663409567898</v>
      </c>
      <c r="C18">
        <v>9.2323655804110007</v>
      </c>
      <c r="E18" t="str">
        <f>"10590494"</f>
        <v>10590494</v>
      </c>
      <c r="F18" t="str">
        <f t="shared" si="0"/>
        <v>Affy 1.0 ST</v>
      </c>
      <c r="G18" t="str">
        <f>"MGI:1098258"</f>
        <v>MGI:1098258</v>
      </c>
      <c r="H18" t="str">
        <f>"Kif15"</f>
        <v>Kif15</v>
      </c>
      <c r="I18" t="str">
        <f>"kinesin family member 15"</f>
        <v>kinesin family member 15</v>
      </c>
      <c r="J18" t="str">
        <f>"protein coding gene"</f>
        <v>protein coding gene</v>
      </c>
    </row>
    <row r="19" spans="1:10">
      <c r="A19">
        <v>10404063</v>
      </c>
      <c r="B19">
        <v>13.380835381848</v>
      </c>
      <c r="C19">
        <v>10.5106173147348</v>
      </c>
      <c r="E19" t="str">
        <f>"10404063"</f>
        <v>10404063</v>
      </c>
      <c r="F19" t="str">
        <f t="shared" si="0"/>
        <v>Affy 1.0 ST</v>
      </c>
      <c r="G19" t="str">
        <f>"MGI:2448306"</f>
        <v>MGI:2448306</v>
      </c>
      <c r="H19" t="str">
        <f>"Hist1h2ab"</f>
        <v>Hist1h2ab</v>
      </c>
      <c r="I19" t="s">
        <v>2012</v>
      </c>
      <c r="J19" t="s">
        <v>2010</v>
      </c>
    </row>
    <row r="20" spans="1:10">
      <c r="A20">
        <v>10350838</v>
      </c>
      <c r="B20">
        <v>13.347623311472899</v>
      </c>
      <c r="C20">
        <v>8.5014297975262494</v>
      </c>
      <c r="E20" t="str">
        <f>"10350838"</f>
        <v>10350838</v>
      </c>
      <c r="F20" t="str">
        <f t="shared" si="0"/>
        <v>Affy 1.0 ST</v>
      </c>
      <c r="G20" t="str">
        <f>"MGI:1915276"</f>
        <v>MGI:1915276</v>
      </c>
      <c r="H20" t="str">
        <f>"2810417H13Rik"</f>
        <v>2810417H13Rik</v>
      </c>
      <c r="I20" t="str">
        <f>"RIKEN cDNA 2810417H13 gene"</f>
        <v>RIKEN cDNA 2810417H13 gene</v>
      </c>
      <c r="J20" t="str">
        <f>"protein coding gene"</f>
        <v>protein coding gene</v>
      </c>
    </row>
    <row r="21" spans="1:10">
      <c r="A21">
        <v>10359890</v>
      </c>
      <c r="B21">
        <v>13.165878315890501</v>
      </c>
      <c r="C21">
        <v>8.9473277485605198</v>
      </c>
      <c r="E21" t="str">
        <f>"10359890"</f>
        <v>10359890</v>
      </c>
      <c r="F21" t="str">
        <f t="shared" si="0"/>
        <v>Affy 1.0 ST</v>
      </c>
      <c r="G21" t="str">
        <f>"MGI:1914227"</f>
        <v>MGI:1914227</v>
      </c>
      <c r="H21" t="str">
        <f>"Nuf2"</f>
        <v>Nuf2</v>
      </c>
      <c r="I21" t="s">
        <v>2078</v>
      </c>
      <c r="J21" t="s">
        <v>2010</v>
      </c>
    </row>
    <row r="22" spans="1:10">
      <c r="A22">
        <v>10436106</v>
      </c>
      <c r="B22">
        <v>11.6775883339294</v>
      </c>
      <c r="C22">
        <v>7.8157942253392703</v>
      </c>
      <c r="E22" t="str">
        <f>"10436106"</f>
        <v>10436106</v>
      </c>
      <c r="F22" t="str">
        <f t="shared" si="0"/>
        <v>Affy 1.0 ST</v>
      </c>
      <c r="G22" t="str">
        <f>"MGI:2146335"</f>
        <v>MGI:2146335</v>
      </c>
      <c r="H22" t="str">
        <f>"C330027C09Rik"</f>
        <v>C330027C09Rik</v>
      </c>
      <c r="I22" t="str">
        <f>"RIKEN cDNA C330027C09 gene"</f>
        <v>RIKEN cDNA C330027C09 gene</v>
      </c>
      <c r="J22" t="str">
        <f t="shared" ref="J22:J31" si="1">"protein coding gene"</f>
        <v>protein coding gene</v>
      </c>
    </row>
    <row r="23" spans="1:10">
      <c r="A23">
        <v>10601011</v>
      </c>
      <c r="B23">
        <v>11.4173494996671</v>
      </c>
      <c r="C23">
        <v>7.8760607772385303</v>
      </c>
      <c r="E23" t="str">
        <f>"10601011"</f>
        <v>10601011</v>
      </c>
      <c r="F23" t="str">
        <f t="shared" si="0"/>
        <v>Affy 1.0 ST</v>
      </c>
      <c r="G23" t="str">
        <f>"MGI:108389"</f>
        <v>MGI:108389</v>
      </c>
      <c r="H23" t="str">
        <f>"Kif4"</f>
        <v>Kif4</v>
      </c>
      <c r="I23" t="str">
        <f>"kinesin family member 4"</f>
        <v>kinesin family member 4</v>
      </c>
      <c r="J23" t="str">
        <f t="shared" si="1"/>
        <v>protein coding gene</v>
      </c>
    </row>
    <row r="24" spans="1:10">
      <c r="A24">
        <v>10507112</v>
      </c>
      <c r="B24">
        <v>11.322900389918299</v>
      </c>
      <c r="C24">
        <v>5.87316821064511</v>
      </c>
      <c r="E24" t="str">
        <f>"10507112"</f>
        <v>10507112</v>
      </c>
      <c r="F24" t="str">
        <f t="shared" si="0"/>
        <v>Affy 1.0 ST</v>
      </c>
      <c r="G24" t="str">
        <f>"MGI:107477"</f>
        <v>MGI:107477</v>
      </c>
      <c r="H24" t="str">
        <f>"Stil"</f>
        <v>Stil</v>
      </c>
      <c r="I24" t="str">
        <f>"Scl/Tal1 interrupting locus"</f>
        <v>Scl/Tal1 interrupting locus</v>
      </c>
      <c r="J24" t="str">
        <f t="shared" si="1"/>
        <v>protein coding gene</v>
      </c>
    </row>
    <row r="25" spans="1:10">
      <c r="A25">
        <v>10496204</v>
      </c>
      <c r="B25">
        <v>11.2101888035931</v>
      </c>
      <c r="C25">
        <v>7.2126148872031504</v>
      </c>
      <c r="E25" t="str">
        <f>"10496204"</f>
        <v>10496204</v>
      </c>
      <c r="F25" t="str">
        <f t="shared" si="0"/>
        <v>Affy 1.0 ST</v>
      </c>
      <c r="G25" t="str">
        <f>"MGI:1098230"</f>
        <v>MGI:1098230</v>
      </c>
      <c r="H25" t="str">
        <f>"Cenpe"</f>
        <v>Cenpe</v>
      </c>
      <c r="I25" t="str">
        <f>"centromere protein E"</f>
        <v>centromere protein E</v>
      </c>
      <c r="J25" t="str">
        <f t="shared" si="1"/>
        <v>protein coding gene</v>
      </c>
    </row>
    <row r="26" spans="1:10">
      <c r="A26">
        <v>10563780</v>
      </c>
      <c r="B26">
        <v>11.2013886787401</v>
      </c>
      <c r="C26">
        <v>5.7921256743178304</v>
      </c>
      <c r="E26" t="str">
        <f>"10563780"</f>
        <v>10563780</v>
      </c>
      <c r="F26" t="str">
        <f t="shared" si="0"/>
        <v>Affy 1.0 ST</v>
      </c>
      <c r="G26" t="str">
        <f>"MGI:1922038"</f>
        <v>MGI:1922038</v>
      </c>
      <c r="H26" t="str">
        <f>"E2f8"</f>
        <v>E2f8</v>
      </c>
      <c r="I26" t="str">
        <f>"E2F transcription factor 8"</f>
        <v>E2F transcription factor 8</v>
      </c>
      <c r="J26" t="str">
        <f t="shared" si="1"/>
        <v>protein coding gene</v>
      </c>
    </row>
    <row r="27" spans="1:10">
      <c r="A27">
        <v>10474875</v>
      </c>
      <c r="B27">
        <v>10.7049931114276</v>
      </c>
      <c r="C27">
        <v>6.5982941507449704</v>
      </c>
      <c r="E27" t="str">
        <f>"10474875"</f>
        <v>10474875</v>
      </c>
      <c r="F27" t="str">
        <f t="shared" si="0"/>
        <v>Affy 1.0 ST</v>
      </c>
      <c r="G27" t="str">
        <f>"MGI:1923714"</f>
        <v>MGI:1923714</v>
      </c>
      <c r="H27" t="str">
        <f>"Casc5"</f>
        <v>Casc5</v>
      </c>
      <c r="I27" t="str">
        <f>"cancer susceptibility candidate 5"</f>
        <v>cancer susceptibility candidate 5</v>
      </c>
      <c r="J27" t="str">
        <f t="shared" si="1"/>
        <v>protein coding gene</v>
      </c>
    </row>
    <row r="28" spans="1:10">
      <c r="A28">
        <v>10403980</v>
      </c>
      <c r="B28">
        <v>10.6355933171924</v>
      </c>
      <c r="C28">
        <v>8.2744962874908801</v>
      </c>
      <c r="E28" t="str">
        <f>"10403980"</f>
        <v>10403980</v>
      </c>
      <c r="F28" t="str">
        <f t="shared" si="0"/>
        <v>Affy 1.0 ST</v>
      </c>
      <c r="G28" t="str">
        <f>"MGI:3710645"</f>
        <v>MGI:3710645</v>
      </c>
      <c r="H28" t="str">
        <f>"Hist1h2br"</f>
        <v>Hist1h2br</v>
      </c>
      <c r="I28" t="str">
        <f>"histone cluster 1 H2br"</f>
        <v>histone cluster 1 H2br</v>
      </c>
      <c r="J28" t="str">
        <f t="shared" si="1"/>
        <v>protein coding gene</v>
      </c>
    </row>
    <row r="29" spans="1:10">
      <c r="A29">
        <v>10485963</v>
      </c>
      <c r="B29">
        <v>10.5910082142974</v>
      </c>
      <c r="C29">
        <v>8.8564204496105496</v>
      </c>
      <c r="E29" t="str">
        <f>"10485963"</f>
        <v>10485963</v>
      </c>
      <c r="F29" t="str">
        <f t="shared" si="0"/>
        <v>Affy 1.0 ST</v>
      </c>
      <c r="G29" t="str">
        <f>"MGI:2444300"</f>
        <v>MGI:2444300</v>
      </c>
      <c r="H29" t="str">
        <f>"Arhgap11a"</f>
        <v>Arhgap11a</v>
      </c>
      <c r="I29" t="str">
        <f>"Rho GTPase activating protein 11A"</f>
        <v>Rho GTPase activating protein 11A</v>
      </c>
      <c r="J29" t="str">
        <f t="shared" si="1"/>
        <v>protein coding gene</v>
      </c>
    </row>
    <row r="30" spans="1:10">
      <c r="A30">
        <v>10562637</v>
      </c>
      <c r="B30">
        <v>10.5180098580189</v>
      </c>
      <c r="C30">
        <v>9.5040795837568304</v>
      </c>
      <c r="E30" t="str">
        <f>"10562637"</f>
        <v>10562637</v>
      </c>
      <c r="F30" t="str">
        <f t="shared" si="0"/>
        <v>Affy 1.0 ST</v>
      </c>
      <c r="G30" t="str">
        <f>"MGI:88302"</f>
        <v>MGI:88302</v>
      </c>
      <c r="H30" t="str">
        <f>"Ccnb1"</f>
        <v>Ccnb1</v>
      </c>
      <c r="I30" t="str">
        <f>"cyclin B1"</f>
        <v>cyclin B1</v>
      </c>
      <c r="J30" t="str">
        <f t="shared" si="1"/>
        <v>protein coding gene</v>
      </c>
    </row>
    <row r="31" spans="1:10">
      <c r="A31">
        <v>10576883</v>
      </c>
      <c r="B31">
        <v>10.5014274406746</v>
      </c>
      <c r="C31">
        <v>7.8655032954506403</v>
      </c>
      <c r="E31" t="str">
        <f>"10576883"</f>
        <v>10576883</v>
      </c>
      <c r="F31" t="str">
        <f t="shared" si="0"/>
        <v>Affy 1.0 ST</v>
      </c>
      <c r="G31" t="str">
        <f>"MGI:1338802"</f>
        <v>MGI:1338802</v>
      </c>
      <c r="H31" t="str">
        <f>"Shcbp1"</f>
        <v>Shcbp1</v>
      </c>
      <c r="I31" t="str">
        <f>"Shc SH2-domain binding protein 1"</f>
        <v>Shc SH2-domain binding protein 1</v>
      </c>
      <c r="J31" t="str">
        <f t="shared" si="1"/>
        <v>protein coding gene</v>
      </c>
    </row>
    <row r="32" spans="1:10">
      <c r="A32">
        <v>10474769</v>
      </c>
      <c r="B32">
        <v>10.396157800373601</v>
      </c>
      <c r="C32">
        <v>8.9011959556787303</v>
      </c>
      <c r="E32" t="str">
        <f>"10474769"</f>
        <v>10474769</v>
      </c>
      <c r="F32" t="str">
        <f t="shared" si="0"/>
        <v>Affy 1.0 ST</v>
      </c>
      <c r="G32" t="str">
        <f>"MGI:1333889"</f>
        <v>MGI:1333889</v>
      </c>
      <c r="H32" t="str">
        <f>"Bub1b"</f>
        <v>Bub1b</v>
      </c>
      <c r="I32" t="s">
        <v>2013</v>
      </c>
      <c r="J32" t="s">
        <v>2010</v>
      </c>
    </row>
    <row r="33" spans="1:10">
      <c r="A33">
        <v>10361110</v>
      </c>
      <c r="B33">
        <v>10.223134240761301</v>
      </c>
      <c r="C33">
        <v>3.05954262479352</v>
      </c>
      <c r="E33" t="str">
        <f>"10361110"</f>
        <v>10361110</v>
      </c>
      <c r="F33" t="str">
        <f t="shared" si="0"/>
        <v>Affy 1.0 ST</v>
      </c>
      <c r="G33" t="str">
        <f>"MGI:1924093"</f>
        <v>MGI:1924093</v>
      </c>
      <c r="H33" t="str">
        <f>"Dtl"</f>
        <v>Dtl</v>
      </c>
      <c r="I33" t="str">
        <f>"denticleless homolog (Drosophila)"</f>
        <v>denticleless homolog (Drosophila)</v>
      </c>
      <c r="J33" t="str">
        <f>"protein coding gene"</f>
        <v>protein coding gene</v>
      </c>
    </row>
    <row r="34" spans="1:10">
      <c r="A34">
        <v>10404026</v>
      </c>
      <c r="B34">
        <v>10.0910414572752</v>
      </c>
      <c r="C34">
        <v>5.9491537861030199</v>
      </c>
      <c r="E34" t="str">
        <f>"10404026"</f>
        <v>10404026</v>
      </c>
      <c r="F34" t="str">
        <f t="shared" si="0"/>
        <v>Affy 1.0 ST</v>
      </c>
      <c r="G34" t="str">
        <f>"MGI:2448309"</f>
        <v>MGI:2448309</v>
      </c>
      <c r="H34" t="str">
        <f>"Hist1h2af"</f>
        <v>Hist1h2af</v>
      </c>
      <c r="I34" t="s">
        <v>2014</v>
      </c>
      <c r="J34" t="s">
        <v>2010</v>
      </c>
    </row>
    <row r="35" spans="1:10">
      <c r="A35">
        <v>10462973</v>
      </c>
      <c r="B35">
        <v>9.9424117681755</v>
      </c>
      <c r="C35">
        <v>5.7843221157023397</v>
      </c>
      <c r="E35" t="str">
        <f>"10462973"</f>
        <v>10462973</v>
      </c>
      <c r="F35" t="str">
        <f t="shared" si="0"/>
        <v>Affy 1.0 ST</v>
      </c>
      <c r="G35" t="str">
        <f>"MGI:106209"</f>
        <v>MGI:106209</v>
      </c>
      <c r="H35" t="str">
        <f>"Hells"</f>
        <v>Hells</v>
      </c>
      <c r="I35" t="s">
        <v>2080</v>
      </c>
      <c r="J35" t="s">
        <v>2010</v>
      </c>
    </row>
    <row r="36" spans="1:10">
      <c r="A36">
        <v>10446074</v>
      </c>
      <c r="B36">
        <v>9.9325933388665995</v>
      </c>
      <c r="C36">
        <v>6.8713089105894101</v>
      </c>
      <c r="E36" t="str">
        <f>"10446074"</f>
        <v>10446074</v>
      </c>
      <c r="F36" t="str">
        <f t="shared" si="0"/>
        <v>Affy 1.0 ST</v>
      </c>
      <c r="G36" t="str">
        <f>"MGI:1338889"</f>
        <v>MGI:1338889</v>
      </c>
      <c r="H36" t="str">
        <f>"Uhrf1"</f>
        <v>Uhrf1</v>
      </c>
      <c r="I36" t="s">
        <v>2082</v>
      </c>
      <c r="J36" t="s">
        <v>2010</v>
      </c>
    </row>
    <row r="37" spans="1:10">
      <c r="A37">
        <v>10515431</v>
      </c>
      <c r="B37">
        <v>9.7649804977454</v>
      </c>
      <c r="C37">
        <v>8.4728350603482205</v>
      </c>
      <c r="E37" t="str">
        <f>"10515431"</f>
        <v>10515431</v>
      </c>
      <c r="F37" t="str">
        <f t="shared" si="0"/>
        <v>Affy 1.0 ST</v>
      </c>
      <c r="G37" t="str">
        <f>"MGI:1921054"</f>
        <v>MGI:1921054</v>
      </c>
      <c r="H37" t="str">
        <f>"Kif2c"</f>
        <v>Kif2c</v>
      </c>
      <c r="I37" t="str">
        <f>"kinesin family member 2C"</f>
        <v>kinesin family member 2C</v>
      </c>
      <c r="J37" t="str">
        <f>"protein coding gene"</f>
        <v>protein coding gene</v>
      </c>
    </row>
    <row r="38" spans="1:10">
      <c r="A38">
        <v>10563883</v>
      </c>
      <c r="B38">
        <v>9.7614650809702006</v>
      </c>
      <c r="C38">
        <v>7.2548654334910303</v>
      </c>
      <c r="E38" t="str">
        <f>"10563883"</f>
        <v>10563883</v>
      </c>
      <c r="F38" t="str">
        <f t="shared" si="0"/>
        <v>Affy 1.0 ST</v>
      </c>
      <c r="G38" t="str">
        <f>"MGI:1923381"</f>
        <v>MGI:1923381</v>
      </c>
      <c r="H38" t="str">
        <f>"Depdc1a"</f>
        <v>Depdc1a</v>
      </c>
      <c r="I38" t="str">
        <f>"DEP domain containing 1a"</f>
        <v>DEP domain containing 1a</v>
      </c>
      <c r="J38" t="str">
        <f>"protein coding gene"</f>
        <v>protein coding gene</v>
      </c>
    </row>
    <row r="39" spans="1:10">
      <c r="A39">
        <v>10592201</v>
      </c>
      <c r="B39">
        <v>9.7125670498463794</v>
      </c>
      <c r="C39">
        <v>4.33968146128431</v>
      </c>
      <c r="E39" t="str">
        <f>"10592201"</f>
        <v>10592201</v>
      </c>
      <c r="F39" t="str">
        <f t="shared" si="0"/>
        <v>Affy 1.0 ST</v>
      </c>
      <c r="G39" t="str">
        <f>"MGI:1202065"</f>
        <v>MGI:1202065</v>
      </c>
      <c r="H39" t="str">
        <f>"Chek1"</f>
        <v>Chek1</v>
      </c>
      <c r="I39" t="str">
        <f>"checkpoint kinase 1 homolog (S. pombe)"</f>
        <v>checkpoint kinase 1 homolog (S. pombe)</v>
      </c>
      <c r="J39" t="str">
        <f>"protein coding gene"</f>
        <v>protein coding gene</v>
      </c>
    </row>
    <row r="40" spans="1:10">
      <c r="A40">
        <v>10525591</v>
      </c>
      <c r="B40">
        <v>9.5769661771724</v>
      </c>
      <c r="C40">
        <v>5.7279259493946197</v>
      </c>
      <c r="E40" t="str">
        <f>"10525591"</f>
        <v>10525591</v>
      </c>
      <c r="F40" t="str">
        <f t="shared" si="0"/>
        <v>Affy 1.0 ST</v>
      </c>
      <c r="G40" t="str">
        <f>"MGI:2673709"</f>
        <v>MGI:2673709</v>
      </c>
      <c r="H40" t="str">
        <f>"Kntc1"</f>
        <v>Kntc1</v>
      </c>
      <c r="I40" t="str">
        <f>"kinetochore associated 1"</f>
        <v>kinetochore associated 1</v>
      </c>
      <c r="J40" t="str">
        <f>"protein coding gene"</f>
        <v>protein coding gene</v>
      </c>
    </row>
    <row r="41" spans="1:10">
      <c r="A41">
        <v>10404069</v>
      </c>
      <c r="B41">
        <v>9.3978301268014004</v>
      </c>
      <c r="C41">
        <v>7.51589802086938</v>
      </c>
      <c r="E41" t="str">
        <f>"10404069"</f>
        <v>10404069</v>
      </c>
      <c r="F41" t="str">
        <f t="shared" si="0"/>
        <v>Affy 1.0 ST</v>
      </c>
      <c r="G41" t="str">
        <f>"MGI:1931523"</f>
        <v>MGI:1931523</v>
      </c>
      <c r="H41" t="str">
        <f>"Hist1h1a"</f>
        <v>Hist1h1a</v>
      </c>
      <c r="I41" t="s">
        <v>2107</v>
      </c>
      <c r="J41" t="s">
        <v>2010</v>
      </c>
    </row>
    <row r="42" spans="1:10">
      <c r="A42">
        <v>10385248</v>
      </c>
      <c r="B42">
        <v>9.3303777385417703</v>
      </c>
      <c r="C42">
        <v>7.3213379818317801</v>
      </c>
      <c r="E42" t="str">
        <f>"10385248"</f>
        <v>10385248</v>
      </c>
      <c r="F42" t="str">
        <f t="shared" si="0"/>
        <v>Affy 1.0 ST</v>
      </c>
      <c r="G42" t="str">
        <f>"MGI:104667"</f>
        <v>MGI:104667</v>
      </c>
      <c r="H42" t="str">
        <f>"Hmmr"</f>
        <v>Hmmr</v>
      </c>
      <c r="I42" t="str">
        <f>"hyaluronan mediated motility receptor (RHAMM)"</f>
        <v>hyaluronan mediated motility receptor (RHAMM)</v>
      </c>
      <c r="J42" t="str">
        <f>"protein coding gene"</f>
        <v>protein coding gene</v>
      </c>
    </row>
    <row r="43" spans="1:10">
      <c r="A43">
        <v>10557156</v>
      </c>
      <c r="B43">
        <v>9.2485073400978504</v>
      </c>
      <c r="C43">
        <v>7.5623000296299496</v>
      </c>
      <c r="E43" t="str">
        <f>"10557156"</f>
        <v>10557156</v>
      </c>
      <c r="F43" t="str">
        <f t="shared" si="0"/>
        <v>Affy 1.0 ST</v>
      </c>
      <c r="G43" t="str">
        <f>"MGI:97621"</f>
        <v>MGI:97621</v>
      </c>
      <c r="H43" t="str">
        <f>"Plk1"</f>
        <v>Plk1</v>
      </c>
      <c r="I43" t="str">
        <f>"polo-like kinase 1 (Drosophila)"</f>
        <v>polo-like kinase 1 (Drosophila)</v>
      </c>
      <c r="J43" t="str">
        <f>"protein coding gene"</f>
        <v>protein coding gene</v>
      </c>
    </row>
    <row r="44" spans="1:10">
      <c r="A44">
        <v>10420426</v>
      </c>
      <c r="B44">
        <v>9.2164181805475192</v>
      </c>
      <c r="C44">
        <v>7.0948493831185599</v>
      </c>
      <c r="E44" t="str">
        <f>"10420426"</f>
        <v>10420426</v>
      </c>
      <c r="F44" t="str">
        <f t="shared" si="0"/>
        <v>Affy 1.0 ST</v>
      </c>
      <c r="G44" t="str">
        <f>"MGI:3041235"</f>
        <v>MGI:3041235</v>
      </c>
      <c r="H44" t="str">
        <f>"F630043A04Rik"</f>
        <v>F630043A04Rik</v>
      </c>
      <c r="I44" t="str">
        <f>"RIKEN cDNA F630043A04 gene"</f>
        <v>RIKEN cDNA F630043A04 gene</v>
      </c>
      <c r="J44" t="str">
        <f>"protein coding gene"</f>
        <v>protein coding gene</v>
      </c>
    </row>
    <row r="45" spans="1:10">
      <c r="A45">
        <v>10462866</v>
      </c>
      <c r="B45">
        <v>8.9637468726851797</v>
      </c>
      <c r="C45">
        <v>6.62202866741801</v>
      </c>
      <c r="E45" t="str">
        <f>"10462866"</f>
        <v>10462866</v>
      </c>
      <c r="F45" t="str">
        <f t="shared" si="0"/>
        <v>Affy 1.0 ST</v>
      </c>
      <c r="G45" t="str">
        <f>"MGI:1921357"</f>
        <v>MGI:1921357</v>
      </c>
      <c r="H45" t="str">
        <f>"Cep55"</f>
        <v>Cep55</v>
      </c>
      <c r="I45" t="str">
        <f>"centrosomal protein 55"</f>
        <v>centrosomal protein 55</v>
      </c>
      <c r="J45" t="str">
        <f>"protein coding gene"</f>
        <v>protein coding gene</v>
      </c>
    </row>
    <row r="46" spans="1:10">
      <c r="A46">
        <v>10404061</v>
      </c>
      <c r="B46">
        <v>8.9337129639243198</v>
      </c>
      <c r="C46">
        <v>6.9414098131939301</v>
      </c>
      <c r="E46" t="str">
        <f>"10404061"</f>
        <v>10404061</v>
      </c>
      <c r="F46" t="str">
        <f t="shared" si="0"/>
        <v>Affy 1.0 ST</v>
      </c>
      <c r="G46" t="str">
        <f>"MGI:2448377"</f>
        <v>MGI:2448377</v>
      </c>
      <c r="H46" t="str">
        <f>"Hist1h2bb"</f>
        <v>Hist1h2bb</v>
      </c>
      <c r="I46" t="s">
        <v>2108</v>
      </c>
      <c r="J46" t="s">
        <v>2010</v>
      </c>
    </row>
    <row r="47" spans="1:10">
      <c r="A47">
        <v>10384373</v>
      </c>
      <c r="B47">
        <v>8.7610194650152096</v>
      </c>
      <c r="C47">
        <v>4.4711920355946697</v>
      </c>
      <c r="E47" t="str">
        <f>"10384373"</f>
        <v>10384373</v>
      </c>
      <c r="F47" t="str">
        <f t="shared" si="0"/>
        <v>Affy 1.0 ST</v>
      </c>
      <c r="G47" t="str">
        <f>"MGI:1890648"</f>
        <v>MGI:1890648</v>
      </c>
      <c r="H47" t="str">
        <f>"Fignl1"</f>
        <v>Fignl1</v>
      </c>
      <c r="I47" t="str">
        <f>"fidgetin-like 1"</f>
        <v>fidgetin-like 1</v>
      </c>
      <c r="J47" t="str">
        <f t="shared" ref="J47:J58" si="2">"protein coding gene"</f>
        <v>protein coding gene</v>
      </c>
    </row>
    <row r="48" spans="1:10">
      <c r="A48">
        <v>10420877</v>
      </c>
      <c r="B48">
        <v>8.7101737304262308</v>
      </c>
      <c r="C48">
        <v>6.1765419318886501</v>
      </c>
      <c r="E48" t="str">
        <f>"10420877"</f>
        <v>10420877</v>
      </c>
      <c r="F48" t="str">
        <f t="shared" si="0"/>
        <v>Affy 1.0 ST</v>
      </c>
      <c r="G48" t="str">
        <f>"MGI:1919238"</f>
        <v>MGI:1919238</v>
      </c>
      <c r="H48" t="str">
        <f>"Esco2"</f>
        <v>Esco2</v>
      </c>
      <c r="I48" t="str">
        <f>"establishment of cohesion 1 homolog 2 (S. cerevisiae)"</f>
        <v>establishment of cohesion 1 homolog 2 (S. cerevisiae)</v>
      </c>
      <c r="J48" t="str">
        <f t="shared" si="2"/>
        <v>protein coding gene</v>
      </c>
    </row>
    <row r="49" spans="1:10">
      <c r="A49">
        <v>10379127</v>
      </c>
      <c r="B49">
        <v>8.6478249233841602</v>
      </c>
      <c r="C49">
        <v>6.3816492271766103</v>
      </c>
      <c r="E49" t="str">
        <f>"10379127"</f>
        <v>10379127</v>
      </c>
      <c r="F49" t="str">
        <f t="shared" si="0"/>
        <v>Affy 1.0 ST</v>
      </c>
      <c r="G49" t="str">
        <f>"MGI:1927470"</f>
        <v>MGI:1927470</v>
      </c>
      <c r="H49" t="str">
        <f>"Spag5"</f>
        <v>Spag5</v>
      </c>
      <c r="I49" t="str">
        <f>"sperm associated antigen 5"</f>
        <v>sperm associated antigen 5</v>
      </c>
      <c r="J49" t="str">
        <f t="shared" si="2"/>
        <v>protein coding gene</v>
      </c>
    </row>
    <row r="50" spans="1:10">
      <c r="A50">
        <v>10454709</v>
      </c>
      <c r="B50">
        <v>8.5291576263357793</v>
      </c>
      <c r="C50">
        <v>7.2976639261376199</v>
      </c>
      <c r="E50" t="str">
        <f>"10454709"</f>
        <v>10454709</v>
      </c>
      <c r="F50" t="str">
        <f t="shared" si="0"/>
        <v>Affy 1.0 ST</v>
      </c>
      <c r="G50" t="str">
        <f>"MGI:1201682"</f>
        <v>MGI:1201682</v>
      </c>
      <c r="H50" t="str">
        <f>"Kif20a"</f>
        <v>Kif20a</v>
      </c>
      <c r="I50" t="str">
        <f>"kinesin family member 20A"</f>
        <v>kinesin family member 20A</v>
      </c>
      <c r="J50" t="str">
        <f t="shared" si="2"/>
        <v>protein coding gene</v>
      </c>
    </row>
    <row r="51" spans="1:10">
      <c r="A51">
        <v>10508151</v>
      </c>
      <c r="B51">
        <v>8.4277344804224406</v>
      </c>
      <c r="C51">
        <v>4.9160514202560703</v>
      </c>
      <c r="E51" t="str">
        <f>"10508151"</f>
        <v>10508151</v>
      </c>
      <c r="F51" t="str">
        <f t="shared" si="0"/>
        <v>Affy 1.0 ST</v>
      </c>
      <c r="G51" t="str">
        <f>"MGI:2445153"</f>
        <v>MGI:2445153</v>
      </c>
      <c r="H51" t="str">
        <f>"Clspn"</f>
        <v>Clspn</v>
      </c>
      <c r="I51" t="str">
        <f>"claspin homolog (Xenopus laevis)"</f>
        <v>claspin homolog (Xenopus laevis)</v>
      </c>
      <c r="J51" t="str">
        <f t="shared" si="2"/>
        <v>protein coding gene</v>
      </c>
    </row>
    <row r="52" spans="1:10">
      <c r="A52">
        <v>10571870</v>
      </c>
      <c r="B52">
        <v>8.2703381178831208</v>
      </c>
      <c r="C52">
        <v>7.5839946020238402</v>
      </c>
      <c r="E52" t="str">
        <f>"10571870"</f>
        <v>10571870</v>
      </c>
      <c r="F52" t="str">
        <f t="shared" si="0"/>
        <v>Affy 1.0 ST</v>
      </c>
      <c r="G52" t="str">
        <f>"MGI:96157"</f>
        <v>MGI:96157</v>
      </c>
      <c r="H52" t="str">
        <f>"Hmgb2"</f>
        <v>Hmgb2</v>
      </c>
      <c r="I52" t="str">
        <f>"high mobility group box 2"</f>
        <v>high mobility group box 2</v>
      </c>
      <c r="J52" t="str">
        <f t="shared" si="2"/>
        <v>protein coding gene</v>
      </c>
    </row>
    <row r="53" spans="1:10">
      <c r="A53">
        <v>10513818</v>
      </c>
      <c r="B53">
        <v>8.1796015907121404</v>
      </c>
      <c r="C53">
        <v>5.7255936673778303</v>
      </c>
      <c r="E53" t="str">
        <f>"10513818"</f>
        <v>10513818</v>
      </c>
      <c r="F53" t="str">
        <f t="shared" si="0"/>
        <v>Affy 1.0 ST</v>
      </c>
      <c r="G53" t="str">
        <f>"MGI:96739"</f>
        <v>MGI:96739</v>
      </c>
      <c r="H53" t="str">
        <f>"Stmn1"</f>
        <v>Stmn1</v>
      </c>
      <c r="I53" t="str">
        <f>"stathmin 1"</f>
        <v>stathmin 1</v>
      </c>
      <c r="J53" t="str">
        <f t="shared" si="2"/>
        <v>protein coding gene</v>
      </c>
    </row>
    <row r="54" spans="1:10">
      <c r="A54">
        <v>10573261</v>
      </c>
      <c r="B54">
        <v>8.1339740717748992</v>
      </c>
      <c r="C54">
        <v>4.5004482111644197</v>
      </c>
      <c r="E54" t="str">
        <f>"10573261"</f>
        <v>10573261</v>
      </c>
      <c r="F54" t="str">
        <f t="shared" si="0"/>
        <v>Affy 1.0 ST</v>
      </c>
      <c r="G54" t="str">
        <f>"MGI:1914179"</f>
        <v>MGI:1914179</v>
      </c>
      <c r="H54" t="str">
        <f>"Asf1b"</f>
        <v>Asf1b</v>
      </c>
      <c r="I54" t="str">
        <f>"ASF1 anti-silencing function 1 homolog B (S. cerevisiae)"</f>
        <v>ASF1 anti-silencing function 1 homolog B (S. cerevisiae)</v>
      </c>
      <c r="J54" t="str">
        <f t="shared" si="2"/>
        <v>protein coding gene</v>
      </c>
    </row>
    <row r="55" spans="1:10">
      <c r="A55">
        <v>10554445</v>
      </c>
      <c r="B55">
        <v>7.9952321640950599</v>
      </c>
      <c r="C55">
        <v>5.07448657372555</v>
      </c>
      <c r="E55" t="str">
        <f>"10554445"</f>
        <v>10554445</v>
      </c>
      <c r="F55" t="str">
        <f t="shared" si="0"/>
        <v>Affy 1.0 ST</v>
      </c>
      <c r="G55" t="str">
        <f>"MGI:1858961"</f>
        <v>MGI:1858961</v>
      </c>
      <c r="H55" t="str">
        <f>"Prc1"</f>
        <v>Prc1</v>
      </c>
      <c r="I55" t="str">
        <f>"protein regulator of cytokinesis 1"</f>
        <v>protein regulator of cytokinesis 1</v>
      </c>
      <c r="J55" t="str">
        <f t="shared" si="2"/>
        <v>protein coding gene</v>
      </c>
    </row>
    <row r="56" spans="1:10">
      <c r="A56">
        <v>10578690</v>
      </c>
      <c r="B56">
        <v>7.9282519888263003</v>
      </c>
      <c r="C56">
        <v>4.7415155695672198</v>
      </c>
      <c r="E56" t="str">
        <f>"10578690"</f>
        <v>10578690</v>
      </c>
      <c r="F56" t="str">
        <f t="shared" si="0"/>
        <v>Affy 1.0 ST</v>
      </c>
      <c r="G56" t="str">
        <f>"MGI:2384588"</f>
        <v>MGI:2384588</v>
      </c>
      <c r="H56" t="str">
        <f>"Neil3"</f>
        <v>Neil3</v>
      </c>
      <c r="I56" t="str">
        <f>"nei like 3 (E. coli)"</f>
        <v>nei like 3 (E. coli)</v>
      </c>
      <c r="J56" t="str">
        <f t="shared" si="2"/>
        <v>protein coding gene</v>
      </c>
    </row>
    <row r="57" spans="1:10">
      <c r="A57">
        <v>10408210</v>
      </c>
      <c r="B57">
        <v>7.8256208557195599</v>
      </c>
      <c r="C57">
        <v>4.9891408006848597</v>
      </c>
      <c r="E57" t="str">
        <f>"10408210"</f>
        <v>10408210</v>
      </c>
      <c r="F57" t="str">
        <f t="shared" si="0"/>
        <v>Affy 1.0 ST</v>
      </c>
      <c r="G57" t="str">
        <f>"MGI:3710645"</f>
        <v>MGI:3710645</v>
      </c>
      <c r="H57" t="str">
        <f>"Hist1h2br"</f>
        <v>Hist1h2br</v>
      </c>
      <c r="I57" t="str">
        <f>"histone cluster 1 H2br"</f>
        <v>histone cluster 1 H2br</v>
      </c>
      <c r="J57" t="str">
        <f t="shared" si="2"/>
        <v>protein coding gene</v>
      </c>
    </row>
    <row r="58" spans="1:10">
      <c r="A58">
        <v>10352767</v>
      </c>
      <c r="B58">
        <v>7.5968868188916803</v>
      </c>
      <c r="C58">
        <v>6.3885383120510699</v>
      </c>
      <c r="E58" t="str">
        <f>"10352767"</f>
        <v>10352767</v>
      </c>
      <c r="F58" t="str">
        <f t="shared" si="0"/>
        <v>Affy 1.0 ST</v>
      </c>
      <c r="G58" t="str">
        <f>"MGI:109359"</f>
        <v>MGI:109359</v>
      </c>
      <c r="H58" t="str">
        <f>"Nek2"</f>
        <v>Nek2</v>
      </c>
      <c r="I58" t="str">
        <f>"NIMA (never in mitosis gene a)-related expressed kinase 2"</f>
        <v>NIMA (never in mitosis gene a)-related expressed kinase 2</v>
      </c>
      <c r="J58" t="str">
        <f t="shared" si="2"/>
        <v>protein coding gene</v>
      </c>
    </row>
    <row r="59" spans="1:10">
      <c r="A59">
        <v>10494405</v>
      </c>
      <c r="B59">
        <v>7.5531940614625199</v>
      </c>
      <c r="C59">
        <v>4.2716236922815396</v>
      </c>
      <c r="E59" t="str">
        <f>"10494405"</f>
        <v>10494405</v>
      </c>
      <c r="F59" t="str">
        <f t="shared" si="0"/>
        <v>Affy 1.0 ST</v>
      </c>
      <c r="G59" t="str">
        <f>"MGI:2448351"</f>
        <v>MGI:2448351</v>
      </c>
      <c r="H59" t="str">
        <f>"Hist2h3b"</f>
        <v>Hist2h3b</v>
      </c>
      <c r="I59" t="s">
        <v>2109</v>
      </c>
      <c r="J59" t="s">
        <v>2010</v>
      </c>
    </row>
    <row r="60" spans="1:10">
      <c r="A60">
        <v>10400589</v>
      </c>
      <c r="B60">
        <v>7.5080473350020398</v>
      </c>
      <c r="C60">
        <v>4.5858758335794096</v>
      </c>
      <c r="E60" t="str">
        <f>"10400589"</f>
        <v>10400589</v>
      </c>
      <c r="F60" t="str">
        <f t="shared" si="0"/>
        <v>Affy 1.0 ST</v>
      </c>
      <c r="G60" t="str">
        <f>"MGI:2145099"</f>
        <v>MGI:2145099</v>
      </c>
      <c r="H60" t="str">
        <f>"C79407"</f>
        <v>C79407</v>
      </c>
      <c r="I60" t="str">
        <f>"expressed sequence C79407"</f>
        <v>expressed sequence C79407</v>
      </c>
      <c r="J60" t="str">
        <f>"protein coding gene"</f>
        <v>protein coding gene</v>
      </c>
    </row>
    <row r="61" spans="1:10">
      <c r="A61">
        <v>10408077</v>
      </c>
      <c r="B61">
        <v>7.3983218437264497</v>
      </c>
      <c r="C61">
        <v>4.09925982665058</v>
      </c>
      <c r="E61" t="str">
        <f>"10408077"</f>
        <v>10408077</v>
      </c>
      <c r="F61" t="str">
        <f t="shared" si="0"/>
        <v>Affy 1.0 ST</v>
      </c>
      <c r="G61" t="str">
        <f>"MGI:2448297"</f>
        <v>MGI:2448297</v>
      </c>
      <c r="H61" t="str">
        <f>"Hist1h2ak"</f>
        <v>Hist1h2ak</v>
      </c>
      <c r="I61" t="s">
        <v>2110</v>
      </c>
      <c r="J61" t="s">
        <v>2010</v>
      </c>
    </row>
    <row r="62" spans="1:10">
      <c r="A62">
        <v>10389395</v>
      </c>
      <c r="B62">
        <v>7.3108515319756799</v>
      </c>
      <c r="C62">
        <v>3.8613221860802698</v>
      </c>
      <c r="E62" t="str">
        <f>"10389395"</f>
        <v>10389395</v>
      </c>
      <c r="F62" t="str">
        <f t="shared" si="0"/>
        <v>Affy 1.0 ST</v>
      </c>
      <c r="G62" t="str">
        <f>"MGI:2442836"</f>
        <v>MGI:2442836</v>
      </c>
      <c r="H62" t="str">
        <f>"Brip1"</f>
        <v>Brip1</v>
      </c>
      <c r="I62" t="str">
        <f>"BRCA1 interacting protein C-terminal helicase 1"</f>
        <v>BRCA1 interacting protein C-terminal helicase 1</v>
      </c>
      <c r="J62" t="str">
        <f>"protein coding gene"</f>
        <v>protein coding gene</v>
      </c>
    </row>
    <row r="63" spans="1:10">
      <c r="A63">
        <v>10408200</v>
      </c>
      <c r="B63">
        <v>7.2767493398249998</v>
      </c>
      <c r="C63">
        <v>4.7989997236297501</v>
      </c>
      <c r="E63" t="str">
        <f>"10408200"</f>
        <v>10408200</v>
      </c>
      <c r="F63" t="str">
        <f t="shared" si="0"/>
        <v>Affy 1.0 ST</v>
      </c>
      <c r="G63" t="str">
        <f>"MGI:2448425"</f>
        <v>MGI:2448425</v>
      </c>
      <c r="H63" t="str">
        <f>"Hist1h4f"</f>
        <v>Hist1h4f</v>
      </c>
      <c r="I63" t="s">
        <v>2111</v>
      </c>
      <c r="J63" t="s">
        <v>2010</v>
      </c>
    </row>
    <row r="64" spans="1:10">
      <c r="A64">
        <v>10389606</v>
      </c>
      <c r="B64">
        <v>7.2301113356500304</v>
      </c>
      <c r="C64">
        <v>4.6338007131704</v>
      </c>
      <c r="E64" t="str">
        <f>"10389606"</f>
        <v>10389606</v>
      </c>
      <c r="F64" t="str">
        <f t="shared" si="0"/>
        <v>Affy 1.0 ST</v>
      </c>
      <c r="G64" t="str">
        <f>"MGI:2444496"</f>
        <v>MGI:2444496</v>
      </c>
      <c r="H64" t="str">
        <f>"Prr11"</f>
        <v>Prr11</v>
      </c>
      <c r="I64" t="str">
        <f>"proline rich 11"</f>
        <v>proline rich 11</v>
      </c>
      <c r="J64" t="str">
        <f>"protein coding gene"</f>
        <v>protein coding gene</v>
      </c>
    </row>
    <row r="65" spans="1:10">
      <c r="A65">
        <v>10601705</v>
      </c>
      <c r="B65">
        <v>7.0903789819218899</v>
      </c>
      <c r="C65">
        <v>3.71292236860844</v>
      </c>
      <c r="E65" t="str">
        <f>"10601705"</f>
        <v>10601705</v>
      </c>
      <c r="F65" t="str">
        <f t="shared" si="0"/>
        <v>Affy 1.0 ST</v>
      </c>
      <c r="G65" t="str">
        <f>"MGI:2147897"</f>
        <v>MGI:2147897</v>
      </c>
      <c r="H65" t="str">
        <f>"Cenpi"</f>
        <v>Cenpi</v>
      </c>
      <c r="I65" t="str">
        <f>"centromere protein I"</f>
        <v>centromere protein I</v>
      </c>
      <c r="J65" t="str">
        <f>"protein coding gene"</f>
        <v>protein coding gene</v>
      </c>
    </row>
    <row r="66" spans="1:10">
      <c r="A66">
        <v>10379363</v>
      </c>
      <c r="B66">
        <v>7.0447825785860898</v>
      </c>
      <c r="C66">
        <v>2.9371048303722902</v>
      </c>
      <c r="E66" t="str">
        <f>"10379363"</f>
        <v>10379363</v>
      </c>
      <c r="F66" t="str">
        <f t="shared" si="0"/>
        <v>Affy 1.0 ST</v>
      </c>
      <c r="G66" t="str">
        <f>"MGI:2442925"</f>
        <v>MGI:2442925</v>
      </c>
      <c r="H66" t="str">
        <f>"Atad5"</f>
        <v>Atad5</v>
      </c>
      <c r="I66" t="s">
        <v>2088</v>
      </c>
      <c r="J66" t="s">
        <v>2010</v>
      </c>
    </row>
    <row r="67" spans="1:10">
      <c r="A67">
        <v>10382998</v>
      </c>
      <c r="B67">
        <v>6.9980962604128196</v>
      </c>
      <c r="C67">
        <v>5.11509703738359</v>
      </c>
      <c r="E67" t="str">
        <f>"10382998"</f>
        <v>10382998</v>
      </c>
      <c r="F67" t="str">
        <f t="shared" si="0"/>
        <v>Affy 1.0 ST</v>
      </c>
      <c r="G67" t="str">
        <f>"MGI:1203517"</f>
        <v>MGI:1203517</v>
      </c>
      <c r="H67" t="str">
        <f>"Birc5"</f>
        <v>Birc5</v>
      </c>
      <c r="I67" t="str">
        <f>"baculoviral IAP repeat-containing 5"</f>
        <v>baculoviral IAP repeat-containing 5</v>
      </c>
      <c r="J67" t="str">
        <f>"protein coding gene"</f>
        <v>protein coding gene</v>
      </c>
    </row>
    <row r="68" spans="1:10">
      <c r="A68">
        <v>10591781</v>
      </c>
      <c r="B68">
        <v>6.8994248188348299</v>
      </c>
      <c r="C68">
        <v>4.3273464452269197</v>
      </c>
      <c r="E68" t="str">
        <f>"10591781"</f>
        <v>10591781</v>
      </c>
      <c r="F68" t="str">
        <f t="shared" si="0"/>
        <v>Affy 1.0 ST</v>
      </c>
      <c r="G68" t="str">
        <f>"MGI:1920174"</f>
        <v>MGI:1920174</v>
      </c>
      <c r="H68" t="str">
        <f>"Anln"</f>
        <v>Anln</v>
      </c>
      <c r="I68" t="s">
        <v>2112</v>
      </c>
      <c r="J68" t="s">
        <v>2010</v>
      </c>
    </row>
    <row r="69" spans="1:10">
      <c r="A69">
        <v>10487340</v>
      </c>
      <c r="B69">
        <v>6.8809095814168799</v>
      </c>
      <c r="C69">
        <v>3.8272111905753401</v>
      </c>
      <c r="E69" t="str">
        <f>"10487340"</f>
        <v>10487340</v>
      </c>
      <c r="F69" t="str">
        <f t="shared" si="0"/>
        <v>Affy 1.0 ST</v>
      </c>
      <c r="G69" t="str">
        <f>"MGI:2444777"</f>
        <v>MGI:2444777</v>
      </c>
      <c r="H69" t="str">
        <f>"Ncaph"</f>
        <v>Ncaph</v>
      </c>
      <c r="I69" t="s">
        <v>2113</v>
      </c>
      <c r="J69" t="s">
        <v>2010</v>
      </c>
    </row>
    <row r="70" spans="1:10">
      <c r="A70">
        <v>10562044</v>
      </c>
      <c r="B70">
        <v>6.8388282853570601</v>
      </c>
      <c r="C70">
        <v>1.1669544831949501</v>
      </c>
      <c r="E70" t="str">
        <f>"10562044"</f>
        <v>10562044</v>
      </c>
      <c r="F70" t="str">
        <f t="shared" ref="F70:F121" si="3">"Affy 1.0 ST"</f>
        <v>Affy 1.0 ST</v>
      </c>
      <c r="G70" t="str">
        <f>"MGI:1891838"</f>
        <v>MGI:1891838</v>
      </c>
      <c r="H70" t="str">
        <f>"Zbtb32"</f>
        <v>Zbtb32</v>
      </c>
      <c r="I70" t="str">
        <f>"zinc finger and BTB domain containing 32"</f>
        <v>zinc finger and BTB domain containing 32</v>
      </c>
      <c r="J70" t="str">
        <f>"protein coding gene"</f>
        <v>protein coding gene</v>
      </c>
    </row>
    <row r="71" spans="1:10">
      <c r="A71">
        <v>10483401</v>
      </c>
      <c r="B71">
        <v>6.8285111070104598</v>
      </c>
      <c r="C71">
        <v>3.0769425785191502</v>
      </c>
      <c r="E71" t="str">
        <f>"10483401"</f>
        <v>10483401</v>
      </c>
      <c r="F71" t="str">
        <f t="shared" si="3"/>
        <v>Affy 1.0 ST</v>
      </c>
      <c r="G71" t="str">
        <f>"MGI:1913692"</f>
        <v>MGI:1913692</v>
      </c>
      <c r="H71" t="str">
        <f>"Spc25"</f>
        <v>Spc25</v>
      </c>
      <c r="I71" t="s">
        <v>2021</v>
      </c>
      <c r="J71" t="s">
        <v>2010</v>
      </c>
    </row>
    <row r="72" spans="1:10">
      <c r="A72">
        <v>10350392</v>
      </c>
      <c r="B72">
        <v>6.7998743835537496</v>
      </c>
      <c r="C72">
        <v>5.6338961556625504</v>
      </c>
      <c r="E72" t="str">
        <f>"10350392"</f>
        <v>10350392</v>
      </c>
      <c r="F72" t="str">
        <f t="shared" si="3"/>
        <v>Affy 1.0 ST</v>
      </c>
      <c r="G72" t="str">
        <f>"MGI:1334448"</f>
        <v>MGI:1334448</v>
      </c>
      <c r="H72" t="str">
        <f>"Aspm"</f>
        <v>Aspm</v>
      </c>
      <c r="I72" t="s">
        <v>2085</v>
      </c>
      <c r="J72" t="s">
        <v>2010</v>
      </c>
    </row>
    <row r="73" spans="1:10">
      <c r="A73">
        <v>10479811</v>
      </c>
      <c r="B73">
        <v>6.7098844533483604</v>
      </c>
      <c r="C73">
        <v>2.8043683820536098</v>
      </c>
      <c r="E73" t="str">
        <f>"10479811"</f>
        <v>10479811</v>
      </c>
      <c r="F73" t="str">
        <f t="shared" si="3"/>
        <v>Affy 1.0 ST</v>
      </c>
      <c r="G73" t="str">
        <f>"MGI:1917274"</f>
        <v>MGI:1917274</v>
      </c>
      <c r="H73" t="str">
        <f>"Mcm10"</f>
        <v>Mcm10</v>
      </c>
      <c r="I73" t="str">
        <f>"minichromosome maintenance deficient 10 (S. cerevisiae)"</f>
        <v>minichromosome maintenance deficient 10 (S. cerevisiae)</v>
      </c>
      <c r="J73" t="str">
        <f>"protein coding gene"</f>
        <v>protein coding gene</v>
      </c>
    </row>
    <row r="74" spans="1:10">
      <c r="A74">
        <v>10474984</v>
      </c>
      <c r="B74">
        <v>6.6811296836926699</v>
      </c>
      <c r="C74">
        <v>4.5859939508670102</v>
      </c>
      <c r="E74" t="str">
        <f>"10474984"</f>
        <v>10474984</v>
      </c>
      <c r="F74" t="str">
        <f t="shared" si="3"/>
        <v>Affy 1.0 ST</v>
      </c>
      <c r="G74" t="str">
        <f>"MGI:2675669"</f>
        <v>MGI:2675669</v>
      </c>
      <c r="H74" t="str">
        <f>"Nusap1"</f>
        <v>Nusap1</v>
      </c>
      <c r="I74" t="str">
        <f>"nucleolar and spindle associated protein 1"</f>
        <v>nucleolar and spindle associated protein 1</v>
      </c>
      <c r="J74" t="str">
        <f>"protein coding gene"</f>
        <v>protein coding gene</v>
      </c>
    </row>
    <row r="75" spans="1:10">
      <c r="A75">
        <v>10450519</v>
      </c>
      <c r="B75">
        <v>6.6741623628065998</v>
      </c>
      <c r="C75">
        <v>3.5441710328103402</v>
      </c>
      <c r="E75" t="str">
        <f>"10450519"</f>
        <v>10450519</v>
      </c>
      <c r="F75" t="str">
        <f t="shared" si="3"/>
        <v>Affy 1.0 ST</v>
      </c>
      <c r="G75" t="str">
        <f>"MGI:103180"</f>
        <v>MGI:103180</v>
      </c>
      <c r="H75" t="str">
        <f>"Tcf19"</f>
        <v>Tcf19</v>
      </c>
      <c r="I75" t="str">
        <f>"transcription factor 19"</f>
        <v>transcription factor 19</v>
      </c>
      <c r="J75" t="str">
        <f>"protein coding gene"</f>
        <v>protein coding gene</v>
      </c>
    </row>
    <row r="76" spans="1:10">
      <c r="A76">
        <v>10515257</v>
      </c>
      <c r="B76">
        <v>6.5793241336455797</v>
      </c>
      <c r="C76">
        <v>3.9095472430881602</v>
      </c>
      <c r="E76" t="str">
        <f>"10515257"</f>
        <v>10515257</v>
      </c>
      <c r="F76" t="str">
        <f t="shared" si="3"/>
        <v>Affy 1.0 ST</v>
      </c>
      <c r="G76" t="str">
        <f>"MGI:894697"</f>
        <v>MGI:894697</v>
      </c>
      <c r="H76" t="str">
        <f>"Rad54l"</f>
        <v>Rad54l</v>
      </c>
      <c r="I76" t="str">
        <f>"RAD54 like (S. cerevisiae)"</f>
        <v>RAD54 like (S. cerevisiae)</v>
      </c>
      <c r="J76" t="str">
        <f>"protein coding gene"</f>
        <v>protein coding gene</v>
      </c>
    </row>
    <row r="77" spans="1:10">
      <c r="A77">
        <v>10419323</v>
      </c>
      <c r="B77">
        <v>6.5751600531688101</v>
      </c>
      <c r="C77">
        <v>4.0462765940998304</v>
      </c>
      <c r="E77" t="str">
        <f>"10419323"</f>
        <v>10419323</v>
      </c>
      <c r="F77" t="str">
        <f t="shared" si="3"/>
        <v>Affy 1.0 ST</v>
      </c>
      <c r="G77" t="str">
        <f>"MGI:2183453"</f>
        <v>MGI:2183453</v>
      </c>
      <c r="H77" t="str">
        <f>"Dlgap5"</f>
        <v>Dlgap5</v>
      </c>
      <c r="I77" t="s">
        <v>2022</v>
      </c>
      <c r="J77" t="s">
        <v>2010</v>
      </c>
    </row>
    <row r="78" spans="1:10">
      <c r="A78">
        <v>10410560</v>
      </c>
      <c r="B78">
        <v>6.5748921444963404</v>
      </c>
      <c r="C78">
        <v>3.9001708487989801</v>
      </c>
      <c r="E78" t="str">
        <f>"10410560"</f>
        <v>10410560</v>
      </c>
      <c r="F78" t="str">
        <f t="shared" si="3"/>
        <v>Affy 1.0 ST</v>
      </c>
      <c r="G78" t="str">
        <f>"MGI:1916966"</f>
        <v>MGI:1916966</v>
      </c>
      <c r="H78" t="str">
        <f>"Trip13"</f>
        <v>Trip13</v>
      </c>
      <c r="I78" t="str">
        <f>"thyroid hormone receptor interactor 13"</f>
        <v>thyroid hormone receptor interactor 13</v>
      </c>
      <c r="J78" t="str">
        <f>"protein coding gene"</f>
        <v>protein coding gene</v>
      </c>
    </row>
    <row r="79" spans="1:10">
      <c r="A79">
        <v>10547943</v>
      </c>
      <c r="B79">
        <v>6.5515313448417798</v>
      </c>
      <c r="C79">
        <v>5.3483728369056003</v>
      </c>
      <c r="E79" t="str">
        <f>"10547943"</f>
        <v>10547943</v>
      </c>
      <c r="F79" t="str">
        <f t="shared" si="3"/>
        <v>Affy 1.0 ST</v>
      </c>
      <c r="G79" t="str">
        <f>"MGI:1915548"</f>
        <v>MGI:1915548</v>
      </c>
      <c r="H79" t="str">
        <f>"Ncapd2"</f>
        <v>Ncapd2</v>
      </c>
      <c r="I79" t="s">
        <v>2023</v>
      </c>
      <c r="J79" t="s">
        <v>2010</v>
      </c>
    </row>
    <row r="80" spans="1:10">
      <c r="A80">
        <v>10480432</v>
      </c>
      <c r="B80">
        <v>6.4438119680151003</v>
      </c>
      <c r="C80">
        <v>4.8437359505606201</v>
      </c>
      <c r="E80" t="str">
        <f>"10480432"</f>
        <v>10480432</v>
      </c>
      <c r="F80" t="str">
        <f t="shared" si="3"/>
        <v>Affy 1.0 ST</v>
      </c>
      <c r="G80" t="str">
        <f>"MGI:1914371"</f>
        <v>MGI:1914371</v>
      </c>
      <c r="H80" t="str">
        <f>"Mastl"</f>
        <v>Mastl</v>
      </c>
      <c r="I80" t="str">
        <f>"microtubule associated serine/threonine kinase-like"</f>
        <v>microtubule associated serine/threonine kinase-like</v>
      </c>
      <c r="J80" t="str">
        <f>"protein coding gene"</f>
        <v>protein coding gene</v>
      </c>
    </row>
    <row r="81" spans="1:10">
      <c r="A81">
        <v>10369815</v>
      </c>
      <c r="B81">
        <v>6.4255023063193102</v>
      </c>
      <c r="C81">
        <v>3.2863772082332199</v>
      </c>
      <c r="E81" t="str">
        <f>"10369815"</f>
        <v>10369815</v>
      </c>
      <c r="F81" t="str">
        <f t="shared" si="3"/>
        <v>Affy 1.0 ST</v>
      </c>
      <c r="G81" t="str">
        <f>"MGI:88351"</f>
        <v>MGI:88351</v>
      </c>
      <c r="H81" t="str">
        <f>"Cdk1"</f>
        <v>Cdk1</v>
      </c>
      <c r="I81" t="str">
        <f>"cyclin-dependent kinase 1"</f>
        <v>cyclin-dependent kinase 1</v>
      </c>
      <c r="J81" t="str">
        <f>"protein coding gene"</f>
        <v>protein coding gene</v>
      </c>
    </row>
    <row r="82" spans="1:10">
      <c r="A82">
        <v>10408202</v>
      </c>
      <c r="B82">
        <v>6.4142088594651696</v>
      </c>
      <c r="C82">
        <v>3.6466123540394402</v>
      </c>
      <c r="E82" t="str">
        <f>"10408202"</f>
        <v>10408202</v>
      </c>
      <c r="F82" t="str">
        <f t="shared" si="3"/>
        <v>Affy 1.0 ST</v>
      </c>
      <c r="G82" t="str">
        <f>"MGI:2448351"</f>
        <v>MGI:2448351</v>
      </c>
      <c r="H82" t="str">
        <f>"Hist2h3b"</f>
        <v>Hist2h3b</v>
      </c>
      <c r="I82" t="s">
        <v>2109</v>
      </c>
      <c r="J82" t="s">
        <v>2010</v>
      </c>
    </row>
    <row r="83" spans="1:10">
      <c r="A83">
        <v>10406968</v>
      </c>
      <c r="B83">
        <v>6.3776783772055303</v>
      </c>
      <c r="C83">
        <v>3.1024659737378402</v>
      </c>
      <c r="E83" t="str">
        <f>"10406968"</f>
        <v>10406968</v>
      </c>
      <c r="F83" t="str">
        <f t="shared" si="3"/>
        <v>Affy 1.0 ST</v>
      </c>
      <c r="G83" t="str">
        <f>"MGI:1926210"</f>
        <v>MGI:1926210</v>
      </c>
      <c r="H83" t="str">
        <f>"Cenpk"</f>
        <v>Cenpk</v>
      </c>
      <c r="I83" t="str">
        <f>"centromere protein K"</f>
        <v>centromere protein K</v>
      </c>
      <c r="J83" t="str">
        <f>"protein coding gene"</f>
        <v>protein coding gene</v>
      </c>
    </row>
    <row r="84" spans="1:10">
      <c r="A84">
        <v>10497520</v>
      </c>
      <c r="B84">
        <v>6.33680406445127</v>
      </c>
      <c r="C84">
        <v>4.0801768707259498</v>
      </c>
      <c r="E84" t="str">
        <f>"10497520"</f>
        <v>10497520</v>
      </c>
      <c r="F84" t="str">
        <f t="shared" si="3"/>
        <v>Affy 1.0 ST</v>
      </c>
      <c r="G84" t="str">
        <f>"MGI:95281"</f>
        <v>MGI:95281</v>
      </c>
      <c r="H84" t="str">
        <f>"Ect2"</f>
        <v>Ect2</v>
      </c>
      <c r="I84" t="str">
        <f>"ect2 oncogene"</f>
        <v>ect2 oncogene</v>
      </c>
      <c r="J84" t="str">
        <f>"protein coding gene"</f>
        <v>protein coding gene</v>
      </c>
    </row>
    <row r="85" spans="1:10">
      <c r="A85">
        <v>10474902</v>
      </c>
      <c r="B85">
        <v>6.3316723987850896</v>
      </c>
      <c r="C85">
        <v>3.4705850187604499</v>
      </c>
      <c r="E85" t="str">
        <f>"10474902"</f>
        <v>10474902</v>
      </c>
      <c r="F85" t="str">
        <f t="shared" si="3"/>
        <v>Affy 1.0 ST</v>
      </c>
      <c r="G85" t="str">
        <f>"MGI:97890"</f>
        <v>MGI:97890</v>
      </c>
      <c r="H85" t="str">
        <f>"Rad51"</f>
        <v>Rad51</v>
      </c>
      <c r="I85" t="str">
        <f>"RAD51 homolog (S. cerevisiae)"</f>
        <v>RAD51 homolog (S. cerevisiae)</v>
      </c>
      <c r="J85" t="str">
        <f>"protein coding gene"</f>
        <v>protein coding gene</v>
      </c>
    </row>
    <row r="86" spans="1:10">
      <c r="A86">
        <v>10408085</v>
      </c>
      <c r="B86">
        <v>6.3149289758554499</v>
      </c>
      <c r="C86">
        <v>3.0031730943561601</v>
      </c>
      <c r="E86" t="str">
        <f>"10408085"</f>
        <v>10408085</v>
      </c>
      <c r="F86" t="str">
        <f t="shared" si="3"/>
        <v>Affy 1.0 ST</v>
      </c>
      <c r="G86" t="str">
        <f>"MGI:2448300"</f>
        <v>MGI:2448300</v>
      </c>
      <c r="H86" t="str">
        <f>"Hist1h2an"</f>
        <v>Hist1h2an</v>
      </c>
      <c r="I86" t="s">
        <v>2024</v>
      </c>
      <c r="J86" t="s">
        <v>2010</v>
      </c>
    </row>
    <row r="87" spans="1:10">
      <c r="A87">
        <v>10521090</v>
      </c>
      <c r="B87">
        <v>6.3012319524786902</v>
      </c>
      <c r="C87">
        <v>3.95357113624092</v>
      </c>
      <c r="E87" t="str">
        <f>"10521090"</f>
        <v>10521090</v>
      </c>
      <c r="F87" t="str">
        <f t="shared" si="3"/>
        <v>Affy 1.0 ST</v>
      </c>
      <c r="G87" t="str">
        <f>"MGI:1341163"</f>
        <v>MGI:1341163</v>
      </c>
      <c r="H87" t="str">
        <f>"Tacc3"</f>
        <v>Tacc3</v>
      </c>
      <c r="I87" t="s">
        <v>2025</v>
      </c>
      <c r="J87" t="s">
        <v>2010</v>
      </c>
    </row>
    <row r="88" spans="1:10">
      <c r="A88">
        <v>10503264</v>
      </c>
      <c r="B88">
        <v>6.2249720528460601</v>
      </c>
      <c r="C88">
        <v>3.0250623729056598</v>
      </c>
      <c r="E88" t="str">
        <f>"10503264"</f>
        <v>10503264</v>
      </c>
      <c r="F88" t="str">
        <f t="shared" si="3"/>
        <v>Affy 1.0 ST</v>
      </c>
      <c r="G88" t="str">
        <f>"MGI:1329034"</f>
        <v>MGI:1329034</v>
      </c>
      <c r="H88" t="str">
        <f>"Ccne2"</f>
        <v>Ccne2</v>
      </c>
      <c r="I88" t="str">
        <f>"cyclin E2"</f>
        <v>cyclin E2</v>
      </c>
      <c r="J88" t="str">
        <f>"protein coding gene"</f>
        <v>protein coding gene</v>
      </c>
    </row>
    <row r="89" spans="1:10">
      <c r="A89">
        <v>10408239</v>
      </c>
      <c r="B89">
        <v>6.19222859273619</v>
      </c>
      <c r="C89">
        <v>3.0536469556769301</v>
      </c>
      <c r="E89" t="str">
        <f>"10408239"</f>
        <v>10408239</v>
      </c>
      <c r="F89" t="str">
        <f t="shared" si="3"/>
        <v>Affy 1.0 ST</v>
      </c>
      <c r="G89" t="str">
        <f>"MGI:2448351"</f>
        <v>MGI:2448351</v>
      </c>
      <c r="H89" t="str">
        <f>"Hist2h3b"</f>
        <v>Hist2h3b</v>
      </c>
      <c r="I89" t="s">
        <v>2109</v>
      </c>
      <c r="J89" t="s">
        <v>2010</v>
      </c>
    </row>
    <row r="90" spans="1:10">
      <c r="A90">
        <v>10367076</v>
      </c>
      <c r="B90">
        <v>6.1875427152952396</v>
      </c>
      <c r="C90">
        <v>4.2951668952176698</v>
      </c>
      <c r="E90" t="str">
        <f>"10367076"</f>
        <v>10367076</v>
      </c>
      <c r="F90" t="str">
        <f t="shared" si="3"/>
        <v>Affy 1.0 ST</v>
      </c>
      <c r="G90" t="str">
        <f>"MGI:97757"</f>
        <v>MGI:97757</v>
      </c>
      <c r="H90" t="str">
        <f>"Prim1"</f>
        <v>Prim1</v>
      </c>
      <c r="I90" t="s">
        <v>2026</v>
      </c>
      <c r="J90" t="s">
        <v>2010</v>
      </c>
    </row>
    <row r="91" spans="1:10">
      <c r="A91">
        <v>10381072</v>
      </c>
      <c r="B91">
        <v>6.11970605670734</v>
      </c>
      <c r="C91">
        <v>2.68235727763027</v>
      </c>
      <c r="E91" t="str">
        <f>"10381072"</f>
        <v>10381072</v>
      </c>
      <c r="F91" t="str">
        <f t="shared" si="3"/>
        <v>Affy 1.0 ST</v>
      </c>
      <c r="G91" t="str">
        <f>"MGI:1345150"</f>
        <v>MGI:1345150</v>
      </c>
      <c r="H91" t="str">
        <f>"Cdc6"</f>
        <v>Cdc6</v>
      </c>
      <c r="I91" t="str">
        <f>"cell division cycle 6 homolog (S. cerevisiae)"</f>
        <v>cell division cycle 6 homolog (S. cerevisiae)</v>
      </c>
      <c r="J91" t="str">
        <f>"protein coding gene"</f>
        <v>protein coding gene</v>
      </c>
    </row>
    <row r="92" spans="1:10">
      <c r="A92">
        <v>10594251</v>
      </c>
      <c r="B92">
        <v>6.0967122823453801</v>
      </c>
      <c r="C92">
        <v>4.6406231035858401</v>
      </c>
      <c r="E92" t="str">
        <f>"10594251"</f>
        <v>10594251</v>
      </c>
      <c r="F92" t="str">
        <f t="shared" si="3"/>
        <v>Affy 1.0 ST</v>
      </c>
      <c r="G92" t="str">
        <f>"MGI:1919069"</f>
        <v>MGI:1919069</v>
      </c>
      <c r="H92" t="str">
        <f>"Kif23"</f>
        <v>Kif23</v>
      </c>
      <c r="I92" t="str">
        <f>"kinesin family member 23"</f>
        <v>kinesin family member 23</v>
      </c>
      <c r="J92" t="str">
        <f>"protein coding gene"</f>
        <v>protein coding gene</v>
      </c>
    </row>
    <row r="93" spans="1:10">
      <c r="A93">
        <v>10403943</v>
      </c>
      <c r="B93">
        <v>6.0274554978029702</v>
      </c>
      <c r="C93">
        <v>4.4720191724918301</v>
      </c>
      <c r="E93" t="str">
        <f>"10403943"</f>
        <v>10403943</v>
      </c>
      <c r="F93" t="str">
        <f t="shared" si="3"/>
        <v>Affy 1.0 ST</v>
      </c>
      <c r="G93" t="str">
        <f>"MGI:2448404"</f>
        <v>MGI:2448404</v>
      </c>
      <c r="H93" t="str">
        <f>"Hist1h2bm"</f>
        <v>Hist1h2bm</v>
      </c>
      <c r="I93" t="s">
        <v>2027</v>
      </c>
      <c r="J93" t="s">
        <v>2010</v>
      </c>
    </row>
    <row r="94" spans="1:10">
      <c r="A94">
        <v>10509168</v>
      </c>
      <c r="B94">
        <v>5.9430683066028998</v>
      </c>
      <c r="C94">
        <v>2.7402250799896599</v>
      </c>
      <c r="E94" t="str">
        <f>"10509168"</f>
        <v>10509168</v>
      </c>
      <c r="F94" t="str">
        <f t="shared" si="3"/>
        <v>Affy 1.0 ST</v>
      </c>
      <c r="G94" t="str">
        <f>"MGI:1096341"</f>
        <v>MGI:1096341</v>
      </c>
      <c r="H94" t="str">
        <f>"E2f2"</f>
        <v>E2f2</v>
      </c>
      <c r="I94" t="str">
        <f>"E2F transcription factor 2"</f>
        <v>E2F transcription factor 2</v>
      </c>
      <c r="J94" t="str">
        <f>"protein coding gene"</f>
        <v>protein coding gene</v>
      </c>
    </row>
    <row r="95" spans="1:10">
      <c r="A95">
        <v>10554325</v>
      </c>
      <c r="B95">
        <v>5.9193357398001503</v>
      </c>
      <c r="C95">
        <v>2.9598344092305302</v>
      </c>
      <c r="E95" t="str">
        <f>"10554325"</f>
        <v>10554325</v>
      </c>
      <c r="F95" t="str">
        <f t="shared" si="3"/>
        <v>Affy 1.0 ST</v>
      </c>
      <c r="G95" t="str">
        <f>"MGI:1924261"</f>
        <v>MGI:1924261</v>
      </c>
      <c r="H95" t="str">
        <f>"5730590G19Rik"</f>
        <v>5730590G19Rik</v>
      </c>
      <c r="I95" t="str">
        <f>"RIKEN cDNA 5730590G19 gene"</f>
        <v>RIKEN cDNA 5730590G19 gene</v>
      </c>
      <c r="J95" t="str">
        <f>"protein coding gene"</f>
        <v>protein coding gene</v>
      </c>
    </row>
    <row r="96" spans="1:10">
      <c r="A96">
        <v>10448506</v>
      </c>
      <c r="B96">
        <v>5.9162238209234799</v>
      </c>
      <c r="C96">
        <v>3.93829455375668</v>
      </c>
      <c r="E96" t="str">
        <f>"10448506"</f>
        <v>10448506</v>
      </c>
      <c r="F96" t="str">
        <f t="shared" si="3"/>
        <v>Affy 1.0 ST</v>
      </c>
      <c r="G96" t="str">
        <f>"MGI:102551"</f>
        <v>MGI:102551</v>
      </c>
      <c r="H96" t="str">
        <f>"Ccnf"</f>
        <v>Ccnf</v>
      </c>
      <c r="I96" t="str">
        <f>"cyclin F"</f>
        <v>cyclin F</v>
      </c>
      <c r="J96" t="str">
        <f>"protein coding gene"</f>
        <v>protein coding gene</v>
      </c>
    </row>
    <row r="97" spans="1:10">
      <c r="A97">
        <v>10391811</v>
      </c>
      <c r="B97">
        <v>5.9057630743738398</v>
      </c>
      <c r="C97">
        <v>4.4671090392472097</v>
      </c>
      <c r="E97" t="str">
        <f>"10391811"</f>
        <v>10391811</v>
      </c>
      <c r="F97" t="str">
        <f t="shared" si="3"/>
        <v>Affy 1.0 ST</v>
      </c>
      <c r="G97" t="str">
        <f>"MGI:2446979"</f>
        <v>MGI:2446979</v>
      </c>
      <c r="H97" t="str">
        <f>"Kif18b"</f>
        <v>Kif18b</v>
      </c>
      <c r="I97" t="str">
        <f>"kinesin family member 18B"</f>
        <v>kinesin family member 18B</v>
      </c>
      <c r="J97" t="str">
        <f>"protein coding gene"</f>
        <v>protein coding gene</v>
      </c>
    </row>
    <row r="98" spans="1:10">
      <c r="A98">
        <v>10455813</v>
      </c>
      <c r="B98">
        <v>5.8772686471105002</v>
      </c>
      <c r="C98">
        <v>3.7670897929234601</v>
      </c>
      <c r="E98" t="str">
        <f>"10455813"</f>
        <v>10455813</v>
      </c>
      <c r="F98" t="str">
        <f t="shared" si="3"/>
        <v>Affy 1.0 ST</v>
      </c>
      <c r="G98" t="str">
        <f>"MGI:96795"</f>
        <v>MGI:96795</v>
      </c>
      <c r="H98" t="str">
        <f>"Lmnb1"</f>
        <v>Lmnb1</v>
      </c>
      <c r="I98" t="str">
        <f>"lamin B1"</f>
        <v>lamin B1</v>
      </c>
      <c r="J98" t="str">
        <f>"protein coding gene"</f>
        <v>protein coding gene</v>
      </c>
    </row>
    <row r="99" spans="1:10">
      <c r="A99">
        <v>10550102</v>
      </c>
      <c r="B99">
        <v>5.8685999976993797</v>
      </c>
      <c r="C99">
        <v>2.8120563300545198</v>
      </c>
      <c r="E99" t="str">
        <f>"10550102"</f>
        <v>10550102</v>
      </c>
      <c r="F99" t="str">
        <f t="shared" si="3"/>
        <v>Affy 1.0 ST</v>
      </c>
      <c r="G99" t="str">
        <f>"MGI:101789"</f>
        <v>MGI:101789</v>
      </c>
      <c r="H99" t="str">
        <f>"Lig1"</f>
        <v>Lig1</v>
      </c>
      <c r="I99" t="s">
        <v>2028</v>
      </c>
      <c r="J99" t="s">
        <v>2010</v>
      </c>
    </row>
    <row r="100" spans="1:10">
      <c r="A100">
        <v>10524169</v>
      </c>
      <c r="B100">
        <v>5.8192340722766103</v>
      </c>
      <c r="C100">
        <v>2.7003597496255001</v>
      </c>
      <c r="E100" t="str">
        <f>"10524169"</f>
        <v>10524169</v>
      </c>
      <c r="F100" t="str">
        <f t="shared" si="3"/>
        <v>Affy 1.0 ST</v>
      </c>
      <c r="G100" t="str">
        <f>"MGI:1196391"</f>
        <v>MGI:1196391</v>
      </c>
      <c r="H100" t="str">
        <f>"Pole"</f>
        <v>Pole</v>
      </c>
      <c r="I100" t="s">
        <v>2083</v>
      </c>
      <c r="J100" t="s">
        <v>2010</v>
      </c>
    </row>
    <row r="101" spans="1:10">
      <c r="A101">
        <v>10408118</v>
      </c>
      <c r="B101">
        <v>5.7931049680650597</v>
      </c>
      <c r="C101">
        <v>2.90216088344437</v>
      </c>
      <c r="E101" t="str">
        <f>"10408118"</f>
        <v>10408118</v>
      </c>
      <c r="F101" t="str">
        <f t="shared" si="3"/>
        <v>Affy 1.0 ST</v>
      </c>
      <c r="G101" t="str">
        <f>"MGI:3710573"</f>
        <v>MGI:3710573</v>
      </c>
      <c r="H101" t="str">
        <f>"Hist1h2ap"</f>
        <v>Hist1h2ap</v>
      </c>
      <c r="I101" t="s">
        <v>2029</v>
      </c>
      <c r="J101" t="s">
        <v>2010</v>
      </c>
    </row>
    <row r="102" spans="1:10">
      <c r="A102">
        <v>10504470</v>
      </c>
      <c r="B102">
        <v>5.7814916623439103</v>
      </c>
      <c r="C102">
        <v>3.74408481798686</v>
      </c>
      <c r="E102" t="str">
        <f>"10504470"</f>
        <v>10504470</v>
      </c>
      <c r="F102" t="str">
        <f t="shared" si="3"/>
        <v>Affy 1.0 ST</v>
      </c>
      <c r="G102" t="str">
        <f>"MGI:106924"</f>
        <v>MGI:106924</v>
      </c>
      <c r="H102" t="str">
        <f>"Melk"</f>
        <v>Melk</v>
      </c>
      <c r="I102" t="str">
        <f>"maternal embryonic leucine zipper kinase"</f>
        <v>maternal embryonic leucine zipper kinase</v>
      </c>
      <c r="J102" t="str">
        <f>"protein coding gene"</f>
        <v>protein coding gene</v>
      </c>
    </row>
    <row r="103" spans="1:10">
      <c r="A103">
        <v>10487577</v>
      </c>
      <c r="B103">
        <v>5.7554752199542696</v>
      </c>
      <c r="C103">
        <v>4.1927793613016702</v>
      </c>
      <c r="E103" t="str">
        <f>"10487577"</f>
        <v>10487577</v>
      </c>
      <c r="F103" t="str">
        <f t="shared" si="3"/>
        <v>Affy 1.0 ST</v>
      </c>
      <c r="G103" t="str">
        <f>"MGI:1917716"</f>
        <v>MGI:1917716</v>
      </c>
      <c r="H103" t="str">
        <f>"Ckap2l"</f>
        <v>Ckap2l</v>
      </c>
      <c r="I103" t="str">
        <f>"cytoskeleton associated protein 2-like"</f>
        <v>cytoskeleton associated protein 2-like</v>
      </c>
      <c r="J103" t="str">
        <f>"protein coding gene"</f>
        <v>protein coding gene</v>
      </c>
    </row>
    <row r="104" spans="1:10">
      <c r="A104">
        <v>10605674</v>
      </c>
      <c r="B104">
        <v>5.7145369341691001</v>
      </c>
      <c r="C104">
        <v>2.1105274837083998</v>
      </c>
      <c r="E104" t="str">
        <f>"10605674"</f>
        <v>10605674</v>
      </c>
      <c r="F104" t="str">
        <f t="shared" si="3"/>
        <v>Affy 1.0 ST</v>
      </c>
      <c r="G104" t="str">
        <f>"MGI:99660"</f>
        <v>MGI:99660</v>
      </c>
      <c r="H104" t="str">
        <f>"Pola1"</f>
        <v>Pola1</v>
      </c>
      <c r="I104" t="s">
        <v>2086</v>
      </c>
      <c r="J104" t="s">
        <v>2010</v>
      </c>
    </row>
    <row r="105" spans="1:10">
      <c r="A105">
        <v>10473384</v>
      </c>
      <c r="B105">
        <v>5.6482199521935801</v>
      </c>
      <c r="C105">
        <v>3.1905467236315399</v>
      </c>
      <c r="E105" t="str">
        <f>"10473384"</f>
        <v>10473384</v>
      </c>
      <c r="F105" t="str">
        <f t="shared" si="3"/>
        <v>Affy 1.0 ST</v>
      </c>
      <c r="G105" t="str">
        <f>"MGI:1931054"</f>
        <v>MGI:1931054</v>
      </c>
      <c r="H105" t="str">
        <f>"Slc43a3"</f>
        <v>Slc43a3</v>
      </c>
      <c r="I105" t="s">
        <v>2030</v>
      </c>
      <c r="J105" t="s">
        <v>2010</v>
      </c>
    </row>
    <row r="106" spans="1:10">
      <c r="A106">
        <v>10371591</v>
      </c>
      <c r="B106">
        <v>5.5858730767167799</v>
      </c>
      <c r="C106">
        <v>4.0757758299579399</v>
      </c>
      <c r="E106" t="str">
        <f>"10371591"</f>
        <v>10371591</v>
      </c>
      <c r="F106" t="str">
        <f t="shared" si="3"/>
        <v>Affy 1.0 ST</v>
      </c>
      <c r="G106" t="str">
        <f>"MGI:1922567"</f>
        <v>MGI:1922567</v>
      </c>
      <c r="H106" t="str">
        <f>"4930547N16Rik"</f>
        <v>4930547N16Rik</v>
      </c>
      <c r="I106" t="str">
        <f>"RIKEN cDNA 4930547N16 gene"</f>
        <v>RIKEN cDNA 4930547N16 gene</v>
      </c>
      <c r="J106" t="str">
        <f>"protein coding gene"</f>
        <v>protein coding gene</v>
      </c>
    </row>
    <row r="107" spans="1:10">
      <c r="A107">
        <v>10555695</v>
      </c>
      <c r="B107">
        <v>5.4878481965317603</v>
      </c>
      <c r="C107">
        <v>2.9878277095430299</v>
      </c>
      <c r="E107" t="str">
        <f>"10555695"</f>
        <v>10555695</v>
      </c>
      <c r="F107" t="str">
        <f t="shared" si="3"/>
        <v>Affy 1.0 ST</v>
      </c>
      <c r="G107" t="str">
        <f>"MGI:98180"</f>
        <v>MGI:98180</v>
      </c>
      <c r="H107" t="str">
        <f>"Rrm1"</f>
        <v>Rrm1</v>
      </c>
      <c r="I107" t="str">
        <f>"ribonucleotide reductase M1"</f>
        <v>ribonucleotide reductase M1</v>
      </c>
      <c r="J107" t="str">
        <f>"protein coding gene"</f>
        <v>protein coding gene</v>
      </c>
    </row>
    <row r="108" spans="1:10">
      <c r="A108">
        <v>10587508</v>
      </c>
      <c r="B108">
        <v>5.4712242762630003</v>
      </c>
      <c r="C108">
        <v>3.84687934607746</v>
      </c>
      <c r="E108" t="str">
        <f>"10587508"</f>
        <v>10587508</v>
      </c>
      <c r="F108" t="str">
        <f t="shared" si="3"/>
        <v>Affy 1.0 ST</v>
      </c>
      <c r="G108" t="str">
        <f>"MGI:1194921"</f>
        <v>MGI:1194921</v>
      </c>
      <c r="H108" t="str">
        <f>"Ttk"</f>
        <v>Ttk</v>
      </c>
      <c r="I108" t="str">
        <f>"Ttk protein kinase"</f>
        <v>Ttk protein kinase</v>
      </c>
      <c r="J108" t="str">
        <f>"protein coding gene"</f>
        <v>protein coding gene</v>
      </c>
    </row>
    <row r="109" spans="1:10">
      <c r="A109">
        <v>10377405</v>
      </c>
      <c r="B109">
        <v>5.4493793766100804</v>
      </c>
      <c r="C109">
        <v>2.9377535607531899</v>
      </c>
      <c r="E109" t="str">
        <f>"10377405"</f>
        <v>10377405</v>
      </c>
      <c r="F109" t="str">
        <f t="shared" si="3"/>
        <v>Affy 1.0 ST</v>
      </c>
      <c r="G109" t="str">
        <f>"MGI:107168"</f>
        <v>MGI:107168</v>
      </c>
      <c r="H109" t="str">
        <f>"Aurkb"</f>
        <v>Aurkb</v>
      </c>
      <c r="I109" t="str">
        <f>"aurora kinase B"</f>
        <v>aurora kinase B</v>
      </c>
      <c r="J109" t="str">
        <f>"protein coding gene"</f>
        <v>protein coding gene</v>
      </c>
    </row>
    <row r="110" spans="1:10">
      <c r="A110">
        <v>10408246</v>
      </c>
      <c r="B110">
        <v>5.3648060178002099</v>
      </c>
      <c r="C110">
        <v>2.73081882235874</v>
      </c>
      <c r="E110" t="str">
        <f>"10408246"</f>
        <v>10408246</v>
      </c>
      <c r="F110" t="str">
        <f t="shared" si="3"/>
        <v>Affy 1.0 ST</v>
      </c>
      <c r="G110" t="str">
        <f>"MGI:2668828"</f>
        <v>MGI:2668828</v>
      </c>
      <c r="H110" t="str">
        <f>"Hist1h3a"</f>
        <v>Hist1h3a</v>
      </c>
      <c r="I110" t="s">
        <v>2031</v>
      </c>
      <c r="J110" t="s">
        <v>2010</v>
      </c>
    </row>
    <row r="111" spans="1:10">
      <c r="A111">
        <v>10469278</v>
      </c>
      <c r="B111">
        <v>5.3420308032218999</v>
      </c>
      <c r="C111">
        <v>3.9661449092658398</v>
      </c>
      <c r="E111" t="str">
        <f>"10469278"</f>
        <v>10469278</v>
      </c>
      <c r="F111" t="str">
        <f t="shared" si="3"/>
        <v>Affy 1.0 ST</v>
      </c>
      <c r="G111" t="str">
        <f>"MGI:96549"</f>
        <v>MGI:96549</v>
      </c>
      <c r="H111" t="str">
        <f>"Il2ra"</f>
        <v>Il2ra</v>
      </c>
      <c r="I111" t="s">
        <v>2147</v>
      </c>
      <c r="J111" t="s">
        <v>2010</v>
      </c>
    </row>
    <row r="112" spans="1:10">
      <c r="A112">
        <v>10516246</v>
      </c>
      <c r="B112">
        <v>5.3280474305491197</v>
      </c>
      <c r="C112">
        <v>3.8727796337904499</v>
      </c>
      <c r="E112" t="str">
        <f>"10516246"</f>
        <v>10516246</v>
      </c>
      <c r="F112" t="str">
        <f t="shared" si="3"/>
        <v>Affy 1.0 ST</v>
      </c>
      <c r="G112" t="str">
        <f>"MGI:1196274"</f>
        <v>MGI:1196274</v>
      </c>
      <c r="H112" t="str">
        <f>"Cdca8"</f>
        <v>Cdca8</v>
      </c>
      <c r="I112" t="str">
        <f>"cell division cycle associated 8"</f>
        <v>cell division cycle associated 8</v>
      </c>
      <c r="J112" t="str">
        <f>"protein coding gene"</f>
        <v>protein coding gene</v>
      </c>
    </row>
    <row r="113" spans="1:10">
      <c r="A113">
        <v>10404049</v>
      </c>
      <c r="B113">
        <v>5.3214238504898104</v>
      </c>
      <c r="C113">
        <v>1.97267559076024</v>
      </c>
      <c r="E113" t="str">
        <f>"10404049"</f>
        <v>10404049</v>
      </c>
      <c r="F113" t="str">
        <f t="shared" si="3"/>
        <v>Affy 1.0 ST</v>
      </c>
      <c r="G113" t="str">
        <f>"MGI:2448351"</f>
        <v>MGI:2448351</v>
      </c>
      <c r="H113" t="str">
        <f>"Hist2h3b"</f>
        <v>Hist2h3b</v>
      </c>
      <c r="I113" t="s">
        <v>2109</v>
      </c>
      <c r="J113" t="s">
        <v>2010</v>
      </c>
    </row>
    <row r="114" spans="1:10">
      <c r="A114">
        <v>10460738</v>
      </c>
      <c r="B114">
        <v>5.25510463453156</v>
      </c>
      <c r="C114">
        <v>3.6702336820761099</v>
      </c>
      <c r="E114" t="str">
        <f>"10460738"</f>
        <v>10460738</v>
      </c>
      <c r="F114" t="str">
        <f t="shared" si="3"/>
        <v>Affy 1.0 ST</v>
      </c>
      <c r="G114" t="str">
        <f>"MGI:1915099"</f>
        <v>MGI:1915099</v>
      </c>
      <c r="H114" t="str">
        <f>"Cdca5"</f>
        <v>Cdca5</v>
      </c>
      <c r="I114" t="str">
        <f>"cell division cycle associated 5"</f>
        <v>cell division cycle associated 5</v>
      </c>
      <c r="J114" t="str">
        <f t="shared" ref="J114:J120" si="4">"protein coding gene"</f>
        <v>protein coding gene</v>
      </c>
    </row>
    <row r="115" spans="1:10">
      <c r="A115">
        <v>10411728</v>
      </c>
      <c r="B115">
        <v>5.2472152453677099</v>
      </c>
      <c r="C115">
        <v>3.0208521088263098</v>
      </c>
      <c r="E115" t="str">
        <f>"10411728"</f>
        <v>10411728</v>
      </c>
      <c r="F115" t="str">
        <f t="shared" si="3"/>
        <v>Affy 1.0 ST</v>
      </c>
      <c r="G115" t="str">
        <f>"MGI:1349448"</f>
        <v>MGI:1349448</v>
      </c>
      <c r="H115" t="str">
        <f>"Cenph"</f>
        <v>Cenph</v>
      </c>
      <c r="I115" t="str">
        <f>"centromere protein H"</f>
        <v>centromere protein H</v>
      </c>
      <c r="J115" t="str">
        <f t="shared" si="4"/>
        <v>protein coding gene</v>
      </c>
    </row>
    <row r="116" spans="1:10">
      <c r="A116">
        <v>10352048</v>
      </c>
      <c r="B116">
        <v>5.2060779169532498</v>
      </c>
      <c r="C116">
        <v>2.0750617635950301</v>
      </c>
      <c r="E116" t="str">
        <f>"10352048"</f>
        <v>10352048</v>
      </c>
      <c r="F116" t="str">
        <f t="shared" si="3"/>
        <v>Affy 1.0 ST</v>
      </c>
      <c r="G116" t="str">
        <f>"MGI:1349427"</f>
        <v>MGI:1349427</v>
      </c>
      <c r="H116" t="str">
        <f>"Exo1"</f>
        <v>Exo1</v>
      </c>
      <c r="I116" t="str">
        <f>"exonuclease 1"</f>
        <v>exonuclease 1</v>
      </c>
      <c r="J116" t="str">
        <f t="shared" si="4"/>
        <v>protein coding gene</v>
      </c>
    </row>
    <row r="117" spans="1:10">
      <c r="A117">
        <v>10346365</v>
      </c>
      <c r="B117">
        <v>5.1684152322084804</v>
      </c>
      <c r="C117">
        <v>3.4085595903475698</v>
      </c>
      <c r="E117" t="str">
        <f>"10346365"</f>
        <v>10346365</v>
      </c>
      <c r="F117" t="str">
        <f t="shared" si="3"/>
        <v>Affy 1.0 ST</v>
      </c>
      <c r="G117" t="str">
        <f>"MGI:1098767"</f>
        <v>MGI:1098767</v>
      </c>
      <c r="H117" t="str">
        <f>"Sgol2"</f>
        <v>Sgol2</v>
      </c>
      <c r="I117" t="str">
        <f>"shugoshin-like 2 (S. pombe)"</f>
        <v>shugoshin-like 2 (S. pombe)</v>
      </c>
      <c r="J117" t="str">
        <f t="shared" si="4"/>
        <v>protein coding gene</v>
      </c>
    </row>
    <row r="118" spans="1:10">
      <c r="A118">
        <v>10556266</v>
      </c>
      <c r="B118">
        <v>5.1483178691103699</v>
      </c>
      <c r="C118">
        <v>2.5834333062185801</v>
      </c>
      <c r="E118" t="str">
        <f>"10556266"</f>
        <v>10556266</v>
      </c>
      <c r="F118" t="str">
        <f t="shared" si="3"/>
        <v>Affy 1.0 ST</v>
      </c>
      <c r="G118" t="str">
        <f>"MGI:103075"</f>
        <v>MGI:103075</v>
      </c>
      <c r="H118" t="str">
        <f>"Wee1"</f>
        <v>Wee1</v>
      </c>
      <c r="I118" t="str">
        <f>"WEE 1 homolog 1 (S. pombe)"</f>
        <v>WEE 1 homolog 1 (S. pombe)</v>
      </c>
      <c r="J118" t="str">
        <f t="shared" si="4"/>
        <v>protein coding gene</v>
      </c>
    </row>
    <row r="119" spans="1:10">
      <c r="A119">
        <v>10586184</v>
      </c>
      <c r="B119">
        <v>5.1344046185374399</v>
      </c>
      <c r="C119">
        <v>2.5637627352086301</v>
      </c>
      <c r="E119" t="str">
        <f>"10586184"</f>
        <v>10586184</v>
      </c>
      <c r="F119" t="str">
        <f t="shared" si="3"/>
        <v>Affy 1.0 ST</v>
      </c>
      <c r="G119" t="str">
        <f>"MGI:1921571"</f>
        <v>MGI:1921571</v>
      </c>
      <c r="H119" t="str">
        <f>"Tipin"</f>
        <v>Tipin</v>
      </c>
      <c r="I119" t="str">
        <f>"timeless interacting protein"</f>
        <v>timeless interacting protein</v>
      </c>
      <c r="J119" t="str">
        <f t="shared" si="4"/>
        <v>protein coding gene</v>
      </c>
    </row>
    <row r="120" spans="1:10">
      <c r="A120">
        <v>10568150</v>
      </c>
      <c r="B120">
        <v>5.0616408523061001</v>
      </c>
      <c r="C120">
        <v>3.7756821750840999</v>
      </c>
      <c r="E120" t="str">
        <f>"10568150"</f>
        <v>10568150</v>
      </c>
      <c r="F120" t="str">
        <f t="shared" si="3"/>
        <v>Affy 1.0 ST</v>
      </c>
      <c r="G120" t="str">
        <f>"MGI:109233"</f>
        <v>MGI:109233</v>
      </c>
      <c r="H120" t="str">
        <f>"Kif22"</f>
        <v>Kif22</v>
      </c>
      <c r="I120" t="str">
        <f>"kinesin family member 22"</f>
        <v>kinesin family member 22</v>
      </c>
      <c r="J120" t="str">
        <f t="shared" si="4"/>
        <v>protein coding gene</v>
      </c>
    </row>
    <row r="121" spans="1:10">
      <c r="A121">
        <v>10437040</v>
      </c>
      <c r="B121">
        <v>5.0604701295969896</v>
      </c>
      <c r="C121">
        <v>3.7004663375779598</v>
      </c>
      <c r="E121" t="str">
        <f>"10437040"</f>
        <v>10437040</v>
      </c>
      <c r="F121" t="str">
        <f t="shared" si="3"/>
        <v>Affy 1.0 ST</v>
      </c>
      <c r="G121" t="str">
        <f>"MGI:1314881"</f>
        <v>MGI:1314881</v>
      </c>
      <c r="H121" t="str">
        <f>"Chaf1b"</f>
        <v>Chaf1b</v>
      </c>
      <c r="I121" t="s">
        <v>2148</v>
      </c>
      <c r="J121" t="s">
        <v>2010</v>
      </c>
    </row>
    <row r="122" spans="1:10">
      <c r="A122">
        <v>10487506</v>
      </c>
      <c r="B122">
        <v>5.0600247694661604</v>
      </c>
      <c r="C122">
        <v>1.44967732078411</v>
      </c>
      <c r="E122" t="str">
        <f>"10487506"</f>
        <v>10487506</v>
      </c>
      <c r="F122" t="str">
        <f>""</f>
        <v/>
      </c>
      <c r="G122" t="str">
        <f>"No associated gene"</f>
        <v>No associated gene</v>
      </c>
    </row>
    <row r="123" spans="1:10">
      <c r="A123">
        <v>10350297</v>
      </c>
      <c r="B123">
        <v>5.0566111191310998</v>
      </c>
      <c r="C123">
        <v>3.7462749779519799</v>
      </c>
      <c r="E123" t="str">
        <f>"10350297"</f>
        <v>10350297</v>
      </c>
      <c r="F123" t="str">
        <f t="shared" ref="F123:F183" si="5">"Affy 1.0 ST"</f>
        <v>Affy 1.0 ST</v>
      </c>
      <c r="G123" t="str">
        <f>"MGI:1098226"</f>
        <v>MGI:1098226</v>
      </c>
      <c r="H123" t="str">
        <f>"Kif14"</f>
        <v>Kif14</v>
      </c>
      <c r="I123" t="str">
        <f>"kinesin family member 14"</f>
        <v>kinesin family member 14</v>
      </c>
      <c r="J123" t="str">
        <f>"protein coding gene"</f>
        <v>protein coding gene</v>
      </c>
    </row>
    <row r="124" spans="1:10">
      <c r="A124">
        <v>10421877</v>
      </c>
      <c r="B124">
        <v>5.01425811881023</v>
      </c>
      <c r="C124">
        <v>2.15292605265617</v>
      </c>
      <c r="E124" t="str">
        <f>"10421877"</f>
        <v>10421877</v>
      </c>
      <c r="F124" t="str">
        <f t="shared" si="5"/>
        <v>Affy 1.0 ST</v>
      </c>
      <c r="G124" t="str">
        <f>"MGI:1927222"</f>
        <v>MGI:1927222</v>
      </c>
      <c r="H124" t="str">
        <f>"Diap3"</f>
        <v>Diap3</v>
      </c>
      <c r="I124" t="str">
        <f>"diaphanous homolog 3 (Drosophila)"</f>
        <v>diaphanous homolog 3 (Drosophila)</v>
      </c>
      <c r="J124" t="str">
        <f>"protein coding gene"</f>
        <v>protein coding gene</v>
      </c>
    </row>
    <row r="125" spans="1:10">
      <c r="A125">
        <v>10421029</v>
      </c>
      <c r="B125">
        <v>5.0053023560447398</v>
      </c>
      <c r="C125">
        <v>2.8688847293525099</v>
      </c>
      <c r="E125" t="str">
        <f>"10421029"</f>
        <v>10421029</v>
      </c>
      <c r="F125" t="str">
        <f t="shared" si="5"/>
        <v>Affy 1.0 ST</v>
      </c>
      <c r="G125" t="str">
        <f>"MGI:1919787"</f>
        <v>MGI:1919787</v>
      </c>
      <c r="H125" t="str">
        <f>"Cdca2"</f>
        <v>Cdca2</v>
      </c>
      <c r="I125" t="str">
        <f>"cell division cycle associated 2"</f>
        <v>cell division cycle associated 2</v>
      </c>
      <c r="J125" t="str">
        <f>"protein coding gene"</f>
        <v>protein coding gene</v>
      </c>
    </row>
    <row r="126" spans="1:10">
      <c r="A126">
        <v>10594426</v>
      </c>
      <c r="B126">
        <v>4.9950054681391096</v>
      </c>
      <c r="C126">
        <v>3.16269941809565</v>
      </c>
      <c r="E126" t="str">
        <f>"10594426"</f>
        <v>10594426</v>
      </c>
      <c r="F126" t="str">
        <f t="shared" si="5"/>
        <v>Affy 1.0 ST</v>
      </c>
      <c r="G126" t="str">
        <f>"MGI:1915264"</f>
        <v>MGI:1915264</v>
      </c>
      <c r="H126" t="str">
        <f>"Zwilch"</f>
        <v>Zwilch</v>
      </c>
      <c r="I126" t="s">
        <v>2089</v>
      </c>
      <c r="J126" t="s">
        <v>2010</v>
      </c>
    </row>
    <row r="127" spans="1:10">
      <c r="A127">
        <v>10540738</v>
      </c>
      <c r="B127">
        <v>4.9881806515793299</v>
      </c>
      <c r="C127">
        <v>2.9026461955787601</v>
      </c>
      <c r="E127" t="str">
        <f>"10540738"</f>
        <v>10540738</v>
      </c>
      <c r="F127" t="str">
        <f t="shared" si="5"/>
        <v>Affy 1.0 ST</v>
      </c>
      <c r="G127" t="str">
        <f>"MGI:2448480"</f>
        <v>MGI:2448480</v>
      </c>
      <c r="H127" t="str">
        <f>"Fancd2"</f>
        <v>Fancd2</v>
      </c>
      <c r="I127" t="s">
        <v>2158</v>
      </c>
      <c r="J127" t="s">
        <v>2010</v>
      </c>
    </row>
    <row r="128" spans="1:10">
      <c r="A128">
        <v>10504957</v>
      </c>
      <c r="B128">
        <v>4.9856846577571998</v>
      </c>
      <c r="C128">
        <v>1.8451378769420299</v>
      </c>
      <c r="E128" t="str">
        <f>"10504957"</f>
        <v>10504957</v>
      </c>
      <c r="F128" t="str">
        <f t="shared" si="5"/>
        <v>Affy 1.0 ST</v>
      </c>
      <c r="G128" t="str">
        <f>"MGI:106067"</f>
        <v>MGI:106067</v>
      </c>
      <c r="H128" t="str">
        <f>"Smc2"</f>
        <v>Smc2</v>
      </c>
      <c r="I128" t="str">
        <f>"structural maintenance of chromosomes 2"</f>
        <v>structural maintenance of chromosomes 2</v>
      </c>
      <c r="J128" t="str">
        <f>"protein coding gene"</f>
        <v>protein coding gene</v>
      </c>
    </row>
    <row r="129" spans="1:10">
      <c r="A129">
        <v>10361995</v>
      </c>
      <c r="B129">
        <v>4.9781317583452402</v>
      </c>
      <c r="C129">
        <v>2.7291340590088198</v>
      </c>
      <c r="E129" t="str">
        <f>"10361995"</f>
        <v>10361995</v>
      </c>
      <c r="F129" t="str">
        <f t="shared" si="5"/>
        <v>Affy 1.0 ST</v>
      </c>
      <c r="G129" t="str">
        <f>"MGI:1919054"</f>
        <v>MGI:1919054</v>
      </c>
      <c r="H129" t="str">
        <f>"Fam54a"</f>
        <v>Fam54a</v>
      </c>
      <c r="I129" t="s">
        <v>2149</v>
      </c>
      <c r="J129" t="s">
        <v>2010</v>
      </c>
    </row>
    <row r="130" spans="1:10">
      <c r="A130">
        <v>10403948</v>
      </c>
      <c r="B130">
        <v>4.9765556568981797</v>
      </c>
      <c r="C130">
        <v>3.0056035161436498</v>
      </c>
      <c r="E130" t="str">
        <f>"10403948"</f>
        <v>10403948</v>
      </c>
      <c r="F130" t="str">
        <f t="shared" si="5"/>
        <v>Affy 1.0 ST</v>
      </c>
      <c r="G130" t="str">
        <f>"MGI:3710645"</f>
        <v>MGI:3710645</v>
      </c>
      <c r="H130" t="str">
        <f>"Hist1h2br"</f>
        <v>Hist1h2br</v>
      </c>
      <c r="I130" t="str">
        <f>"histone cluster 1 H2br"</f>
        <v>histone cluster 1 H2br</v>
      </c>
      <c r="J130" t="str">
        <f>"protein coding gene"</f>
        <v>protein coding gene</v>
      </c>
    </row>
    <row r="131" spans="1:10">
      <c r="A131">
        <v>10499639</v>
      </c>
      <c r="B131">
        <v>4.9378912198671703</v>
      </c>
      <c r="C131">
        <v>3.1392158836133799</v>
      </c>
      <c r="E131" t="str">
        <f>"10499639"</f>
        <v>10499639</v>
      </c>
      <c r="F131" t="str">
        <f t="shared" si="5"/>
        <v>Affy 1.0 ST</v>
      </c>
      <c r="G131" t="str">
        <f>"MGI:1889208"</f>
        <v>MGI:1889208</v>
      </c>
      <c r="H131" t="str">
        <f>"Cks1b"</f>
        <v>Cks1b</v>
      </c>
      <c r="I131" t="str">
        <f>"CDC28 protein kinase 1b"</f>
        <v>CDC28 protein kinase 1b</v>
      </c>
      <c r="J131" t="str">
        <f>"protein coding gene"</f>
        <v>protein coding gene</v>
      </c>
    </row>
    <row r="132" spans="1:10">
      <c r="A132">
        <v>10408092</v>
      </c>
      <c r="B132">
        <v>4.9350461678439101</v>
      </c>
      <c r="C132">
        <v>3.3492898278599399</v>
      </c>
      <c r="E132" t="str">
        <f>"10408092"</f>
        <v>10408092</v>
      </c>
      <c r="F132" t="str">
        <f t="shared" si="5"/>
        <v>Affy 1.0 ST</v>
      </c>
      <c r="G132" t="str">
        <f>"MGI:2448441"</f>
        <v>MGI:2448441</v>
      </c>
      <c r="H132" t="str">
        <f>"Hist1h4m"</f>
        <v>Hist1h4m</v>
      </c>
      <c r="I132" t="s">
        <v>2150</v>
      </c>
      <c r="J132" t="s">
        <v>2010</v>
      </c>
    </row>
    <row r="133" spans="1:10">
      <c r="A133">
        <v>10541729</v>
      </c>
      <c r="B133">
        <v>4.9108541756757003</v>
      </c>
      <c r="C133">
        <v>3.5085451883438399</v>
      </c>
      <c r="E133" t="str">
        <f>"10541729"</f>
        <v>10541729</v>
      </c>
      <c r="F133" t="str">
        <f t="shared" si="5"/>
        <v>Affy 1.0 ST</v>
      </c>
      <c r="G133" t="str">
        <f>"MGI:1315198"</f>
        <v>MGI:1315198</v>
      </c>
      <c r="H133" t="str">
        <f>"Cdca3"</f>
        <v>Cdca3</v>
      </c>
      <c r="I133" t="str">
        <f>"cell division cycle associated 3"</f>
        <v>cell division cycle associated 3</v>
      </c>
      <c r="J133" t="str">
        <f t="shared" ref="J133:J138" si="6">"protein coding gene"</f>
        <v>protein coding gene</v>
      </c>
    </row>
    <row r="134" spans="1:10">
      <c r="A134">
        <v>10521136</v>
      </c>
      <c r="B134">
        <v>4.9048710678018397</v>
      </c>
      <c r="C134">
        <v>2.62476179043952</v>
      </c>
      <c r="E134" t="str">
        <f>"10521136"</f>
        <v>10521136</v>
      </c>
      <c r="F134" t="str">
        <f t="shared" si="5"/>
        <v>Affy 1.0 ST</v>
      </c>
      <c r="G134" t="str">
        <f>"MGI:1276574"</f>
        <v>MGI:1276574</v>
      </c>
      <c r="H134" t="str">
        <f>"Whsc1"</f>
        <v>Whsc1</v>
      </c>
      <c r="I134" t="str">
        <f>"Wolf-Hirschhorn syndrome candidate 1 (human)"</f>
        <v>Wolf-Hirschhorn syndrome candidate 1 (human)</v>
      </c>
      <c r="J134" t="str">
        <f t="shared" si="6"/>
        <v>protein coding gene</v>
      </c>
    </row>
    <row r="135" spans="1:10">
      <c r="A135">
        <v>10391461</v>
      </c>
      <c r="B135">
        <v>4.8675147958812603</v>
      </c>
      <c r="C135">
        <v>1.7443559720084001</v>
      </c>
      <c r="E135" t="str">
        <f>"10391461"</f>
        <v>10391461</v>
      </c>
      <c r="F135" t="str">
        <f t="shared" si="5"/>
        <v>Affy 1.0 ST</v>
      </c>
      <c r="G135" t="str">
        <f>"MGI:104537"</f>
        <v>MGI:104537</v>
      </c>
      <c r="H135" t="str">
        <f>"Brca1"</f>
        <v>Brca1</v>
      </c>
      <c r="I135" t="str">
        <f>"breast cancer 1"</f>
        <v>breast cancer 1</v>
      </c>
      <c r="J135" t="str">
        <f t="shared" si="6"/>
        <v>protein coding gene</v>
      </c>
    </row>
    <row r="136" spans="1:10">
      <c r="A136">
        <v>10538832</v>
      </c>
      <c r="B136">
        <v>4.8635462286770599</v>
      </c>
      <c r="C136">
        <v>3.44296008019389</v>
      </c>
      <c r="E136" t="str">
        <f>"10538832"</f>
        <v>10538832</v>
      </c>
      <c r="F136" t="str">
        <f t="shared" si="5"/>
        <v>Affy 1.0 ST</v>
      </c>
      <c r="G136" t="str">
        <f>"MGI:1860374"</f>
        <v>MGI:1860374</v>
      </c>
      <c r="H136" t="str">
        <f>"Mad2l1"</f>
        <v>Mad2l1</v>
      </c>
      <c r="I136" t="str">
        <f>"MAD2 mitotic arrest deficient-like 1 (yeast)"</f>
        <v>MAD2 mitotic arrest deficient-like 1 (yeast)</v>
      </c>
      <c r="J136" t="str">
        <f t="shared" si="6"/>
        <v>protein coding gene</v>
      </c>
    </row>
    <row r="137" spans="1:10">
      <c r="A137">
        <v>10528915</v>
      </c>
      <c r="B137">
        <v>4.7859996632908599</v>
      </c>
      <c r="C137">
        <v>2.86601236087935</v>
      </c>
      <c r="E137" t="str">
        <f>"10528915"</f>
        <v>10528915</v>
      </c>
      <c r="F137" t="str">
        <f t="shared" si="5"/>
        <v>Affy 1.0 ST</v>
      </c>
      <c r="G137" t="str">
        <f>"MGI:98878"</f>
        <v>MGI:98878</v>
      </c>
      <c r="H137" t="str">
        <f>"Tyms"</f>
        <v>Tyms</v>
      </c>
      <c r="I137" t="str">
        <f>"thymidylate synthase"</f>
        <v>thymidylate synthase</v>
      </c>
      <c r="J137" t="str">
        <f t="shared" si="6"/>
        <v>protein coding gene</v>
      </c>
    </row>
    <row r="138" spans="1:10">
      <c r="A138">
        <v>10363575</v>
      </c>
      <c r="B138">
        <v>4.7205071861578798</v>
      </c>
      <c r="C138">
        <v>3.3390137835668501</v>
      </c>
      <c r="E138" t="str">
        <f>"10363575"</f>
        <v>10363575</v>
      </c>
      <c r="F138" t="str">
        <f t="shared" si="5"/>
        <v>Affy 1.0 ST</v>
      </c>
      <c r="G138" t="str">
        <f>"MGI:2443732"</f>
        <v>MGI:2443732</v>
      </c>
      <c r="H138" t="str">
        <f>"Dna2"</f>
        <v>Dna2</v>
      </c>
      <c r="I138" t="str">
        <f>"DNA replication helicase 2 homolog (yeast)"</f>
        <v>DNA replication helicase 2 homolog (yeast)</v>
      </c>
      <c r="J138" t="str">
        <f t="shared" si="6"/>
        <v>protein coding gene</v>
      </c>
    </row>
    <row r="139" spans="1:10">
      <c r="A139">
        <v>10585778</v>
      </c>
      <c r="B139">
        <v>4.62620732518198</v>
      </c>
      <c r="C139">
        <v>1.74193000714576</v>
      </c>
      <c r="E139" t="str">
        <f>"10585778"</f>
        <v>10585778</v>
      </c>
      <c r="F139" t="str">
        <f t="shared" si="5"/>
        <v>Affy 1.0 ST</v>
      </c>
      <c r="G139" t="str">
        <f>"MGI:1306826"</f>
        <v>MGI:1306826</v>
      </c>
      <c r="H139" t="str">
        <f>"Sema7a"</f>
        <v>Sema7a</v>
      </c>
      <c r="I139" t="s">
        <v>2151</v>
      </c>
      <c r="J139" t="s">
        <v>2010</v>
      </c>
    </row>
    <row r="140" spans="1:10">
      <c r="A140">
        <v>10408243</v>
      </c>
      <c r="B140">
        <v>4.5860873510509403</v>
      </c>
      <c r="C140">
        <v>2.8423356335849701</v>
      </c>
      <c r="E140" t="str">
        <f>"10408243"</f>
        <v>10408243</v>
      </c>
      <c r="F140" t="str">
        <f t="shared" si="5"/>
        <v>Affy 1.0 ST</v>
      </c>
      <c r="G140" t="str">
        <f>"MGI:2448420"</f>
        <v>MGI:2448420</v>
      </c>
      <c r="H140" t="str">
        <f>"Hist1h4b"</f>
        <v>Hist1h4b</v>
      </c>
      <c r="I140" t="s">
        <v>2035</v>
      </c>
      <c r="J140" t="s">
        <v>2010</v>
      </c>
    </row>
    <row r="141" spans="1:10">
      <c r="A141">
        <v>10575733</v>
      </c>
      <c r="B141">
        <v>4.5571245961704498</v>
      </c>
      <c r="C141">
        <v>2.56569827754236</v>
      </c>
      <c r="E141" t="str">
        <f>"10575733"</f>
        <v>10575733</v>
      </c>
      <c r="F141" t="str">
        <f t="shared" si="5"/>
        <v>Affy 1.0 ST</v>
      </c>
      <c r="G141" t="str">
        <f>"MGI:1919405"</f>
        <v>MGI:1919405</v>
      </c>
      <c r="H141" t="str">
        <f>"Cenpn"</f>
        <v>Cenpn</v>
      </c>
      <c r="I141" t="str">
        <f>"centromere protein N"</f>
        <v>centromere protein N</v>
      </c>
      <c r="J141" t="str">
        <f t="shared" ref="J141:J146" si="7">"protein coding gene"</f>
        <v>protein coding gene</v>
      </c>
    </row>
    <row r="142" spans="1:10">
      <c r="A142">
        <v>10438378</v>
      </c>
      <c r="B142">
        <v>4.5260978063834196</v>
      </c>
      <c r="C142">
        <v>1.6644626215249401</v>
      </c>
      <c r="E142" t="str">
        <f>"10438378"</f>
        <v>10438378</v>
      </c>
      <c r="F142" t="str">
        <f t="shared" si="5"/>
        <v>Affy 1.0 ST</v>
      </c>
      <c r="G142" t="str">
        <f>"MGI:1338073"</f>
        <v>MGI:1338073</v>
      </c>
      <c r="H142" t="str">
        <f>"Cdc45"</f>
        <v>Cdc45</v>
      </c>
      <c r="I142" t="str">
        <f>"cell division cycle 45 homolog (S. cerevisiae)"</f>
        <v>cell division cycle 45 homolog (S. cerevisiae)</v>
      </c>
      <c r="J142" t="str">
        <f t="shared" si="7"/>
        <v>protein coding gene</v>
      </c>
    </row>
    <row r="143" spans="1:10">
      <c r="A143">
        <v>10571696</v>
      </c>
      <c r="B143">
        <v>4.5243243973880798</v>
      </c>
      <c r="C143">
        <v>1.8220873555818899</v>
      </c>
      <c r="E143" t="str">
        <f>"10571696"</f>
        <v>10571696</v>
      </c>
      <c r="F143" t="str">
        <f t="shared" si="5"/>
        <v>Affy 1.0 ST</v>
      </c>
      <c r="G143" t="str">
        <f>"MGI:107739"</f>
        <v>MGI:107739</v>
      </c>
      <c r="H143" t="str">
        <f>"Casp3"</f>
        <v>Casp3</v>
      </c>
      <c r="I143" t="str">
        <f>"caspase 3"</f>
        <v>caspase 3</v>
      </c>
      <c r="J143" t="str">
        <f t="shared" si="7"/>
        <v>protein coding gene</v>
      </c>
    </row>
    <row r="144" spans="1:10">
      <c r="A144">
        <v>10544501</v>
      </c>
      <c r="B144">
        <v>4.4936972202024004</v>
      </c>
      <c r="C144">
        <v>2.1198668853189702</v>
      </c>
      <c r="E144" t="str">
        <f>"10544501"</f>
        <v>10544501</v>
      </c>
      <c r="F144" t="str">
        <f t="shared" si="5"/>
        <v>Affy 1.0 ST</v>
      </c>
      <c r="G144" t="str">
        <f>"MGI:107940"</f>
        <v>MGI:107940</v>
      </c>
      <c r="H144" t="str">
        <f>"Ezh2"</f>
        <v>Ezh2</v>
      </c>
      <c r="I144" t="str">
        <f>"enhancer of zeste homolog 2 (Drosophila)"</f>
        <v>enhancer of zeste homolog 2 (Drosophila)</v>
      </c>
      <c r="J144" t="str">
        <f t="shared" si="7"/>
        <v>protein coding gene</v>
      </c>
    </row>
    <row r="145" spans="1:10">
      <c r="A145">
        <v>10542079</v>
      </c>
      <c r="B145">
        <v>4.4555911601528502</v>
      </c>
      <c r="C145">
        <v>2.5132390418308201</v>
      </c>
      <c r="E145" t="str">
        <f>"10542079"</f>
        <v>10542079</v>
      </c>
      <c r="F145" t="str">
        <f t="shared" si="5"/>
        <v>Affy 1.0 ST</v>
      </c>
      <c r="G145" t="str">
        <f>"MGI:1347487"</f>
        <v>MGI:1347487</v>
      </c>
      <c r="H145" t="str">
        <f>"Foxm1"</f>
        <v>Foxm1</v>
      </c>
      <c r="I145" t="str">
        <f>"forkhead box M1"</f>
        <v>forkhead box M1</v>
      </c>
      <c r="J145" t="str">
        <f t="shared" si="7"/>
        <v>protein coding gene</v>
      </c>
    </row>
    <row r="146" spans="1:10">
      <c r="A146">
        <v>10524790</v>
      </c>
      <c r="B146">
        <v>4.4529379022914899</v>
      </c>
      <c r="C146">
        <v>2.30645715390372</v>
      </c>
      <c r="E146" t="str">
        <f>"10524790"</f>
        <v>10524790</v>
      </c>
      <c r="F146" t="str">
        <f t="shared" si="5"/>
        <v>Affy 1.0 ST</v>
      </c>
      <c r="G146" t="str">
        <f>"MGI:105313"</f>
        <v>MGI:105313</v>
      </c>
      <c r="H146" t="str">
        <f>"Cit"</f>
        <v>Cit</v>
      </c>
      <c r="I146" t="str">
        <f>"citron"</f>
        <v>citron</v>
      </c>
      <c r="J146" t="str">
        <f t="shared" si="7"/>
        <v>protein coding gene</v>
      </c>
    </row>
    <row r="147" spans="1:10">
      <c r="A147">
        <v>10572906</v>
      </c>
      <c r="B147">
        <v>4.4384710345840297</v>
      </c>
      <c r="C147">
        <v>2.11913535552846</v>
      </c>
      <c r="E147" t="str">
        <f>"10572906"</f>
        <v>10572906</v>
      </c>
      <c r="F147" t="str">
        <f t="shared" si="5"/>
        <v>Affy 1.0 ST</v>
      </c>
      <c r="G147" t="str">
        <f>"MGI:103197"</f>
        <v>MGI:103197</v>
      </c>
      <c r="H147" t="str">
        <f>"Mcm5"</f>
        <v>Mcm5</v>
      </c>
      <c r="I147" t="s">
        <v>2157</v>
      </c>
      <c r="J147" t="s">
        <v>2010</v>
      </c>
    </row>
    <row r="148" spans="1:10">
      <c r="A148">
        <v>10406581</v>
      </c>
      <c r="B148">
        <v>4.3938548634673804</v>
      </c>
      <c r="C148">
        <v>0.83425918730089499</v>
      </c>
      <c r="E148" t="str">
        <f>"10406581"</f>
        <v>10406581</v>
      </c>
      <c r="F148" t="str">
        <f t="shared" si="5"/>
        <v>Affy 1.0 ST</v>
      </c>
      <c r="G148" t="str">
        <f>"MGI:94890"</f>
        <v>MGI:94890</v>
      </c>
      <c r="H148" t="str">
        <f>"Dhfr"</f>
        <v>Dhfr</v>
      </c>
      <c r="I148" t="str">
        <f>"dihydrofolate reductase"</f>
        <v>dihydrofolate reductase</v>
      </c>
      <c r="J148" t="str">
        <f t="shared" ref="J148:J155" si="8">"protein coding gene"</f>
        <v>protein coding gene</v>
      </c>
    </row>
    <row r="149" spans="1:10">
      <c r="A149">
        <v>10548086</v>
      </c>
      <c r="B149">
        <v>4.3505186331937198</v>
      </c>
      <c r="C149">
        <v>1.7084202164139399</v>
      </c>
      <c r="E149" t="str">
        <f>"10548086"</f>
        <v>10548086</v>
      </c>
      <c r="F149" t="str">
        <f t="shared" si="5"/>
        <v>Affy 1.0 ST</v>
      </c>
      <c r="G149" t="str">
        <f>"MGI:1098224"</f>
        <v>MGI:1098224</v>
      </c>
      <c r="H149" t="str">
        <f>"Rad51ap1"</f>
        <v>Rad51ap1</v>
      </c>
      <c r="I149" t="str">
        <f>"RAD51 associated protein 1"</f>
        <v>RAD51 associated protein 1</v>
      </c>
      <c r="J149" t="str">
        <f t="shared" si="8"/>
        <v>protein coding gene</v>
      </c>
    </row>
    <row r="150" spans="1:10">
      <c r="A150">
        <v>10355329</v>
      </c>
      <c r="B150">
        <v>4.3495786452908103</v>
      </c>
      <c r="C150">
        <v>2.3631520036898701</v>
      </c>
      <c r="E150" t="str">
        <f>"10355329"</f>
        <v>10355329</v>
      </c>
      <c r="F150" t="str">
        <f t="shared" si="5"/>
        <v>Affy 1.0 ST</v>
      </c>
      <c r="G150" t="str">
        <f>"MGI:1328361"</f>
        <v>MGI:1328361</v>
      </c>
      <c r="H150" t="str">
        <f>"Bard1"</f>
        <v>Bard1</v>
      </c>
      <c r="I150" t="str">
        <f>"BRCA1 associated RING domain 1"</f>
        <v>BRCA1 associated RING domain 1</v>
      </c>
      <c r="J150" t="str">
        <f t="shared" si="8"/>
        <v>protein coding gene</v>
      </c>
    </row>
    <row r="151" spans="1:10">
      <c r="A151">
        <v>10451805</v>
      </c>
      <c r="B151">
        <v>4.3244953298033204</v>
      </c>
      <c r="C151">
        <v>2.8142494833931599</v>
      </c>
      <c r="E151" t="str">
        <f>"10451805"</f>
        <v>10451805</v>
      </c>
      <c r="F151" t="str">
        <f t="shared" si="5"/>
        <v>Affy 1.0 ST</v>
      </c>
      <c r="G151" t="str">
        <f>"MGI:1919665"</f>
        <v>MGI:1919665</v>
      </c>
      <c r="H151" t="str">
        <f>"Sgol1"</f>
        <v>Sgol1</v>
      </c>
      <c r="I151" t="str">
        <f>"shugoshin-like 1 (S. pombe)"</f>
        <v>shugoshin-like 1 (S. pombe)</v>
      </c>
      <c r="J151" t="str">
        <f t="shared" si="8"/>
        <v>protein coding gene</v>
      </c>
    </row>
    <row r="152" spans="1:10">
      <c r="A152">
        <v>10534974</v>
      </c>
      <c r="B152">
        <v>4.31058242343099</v>
      </c>
      <c r="C152">
        <v>2.7203204665774301</v>
      </c>
      <c r="E152" t="str">
        <f>"10534974"</f>
        <v>10534974</v>
      </c>
      <c r="F152" t="str">
        <f t="shared" si="5"/>
        <v>Affy 1.0 ST</v>
      </c>
      <c r="G152" t="str">
        <f>"MGI:1298398"</f>
        <v>MGI:1298398</v>
      </c>
      <c r="H152" t="str">
        <f>"Mcm7"</f>
        <v>Mcm7</v>
      </c>
      <c r="I152" t="str">
        <f>"minichromosome maintenance deficient 7 (S. cerevisiae)"</f>
        <v>minichromosome maintenance deficient 7 (S. cerevisiae)</v>
      </c>
      <c r="J152" t="str">
        <f t="shared" si="8"/>
        <v>protein coding gene</v>
      </c>
    </row>
    <row r="153" spans="1:10">
      <c r="A153">
        <v>10353420</v>
      </c>
      <c r="B153">
        <v>4.2591724549093204</v>
      </c>
      <c r="C153">
        <v>2.2023527101085398</v>
      </c>
      <c r="E153" t="str">
        <f>"10353420"</f>
        <v>10353420</v>
      </c>
      <c r="F153" t="str">
        <f t="shared" si="5"/>
        <v>Affy 1.0 ST</v>
      </c>
      <c r="G153" t="str">
        <f>"MGI:101845"</f>
        <v>MGI:101845</v>
      </c>
      <c r="H153" t="str">
        <f>"Mcm3"</f>
        <v>Mcm3</v>
      </c>
      <c r="I153" t="str">
        <f>"minichromosome maintenance deficient 3 (S. cerevisiae)"</f>
        <v>minichromosome maintenance deficient 3 (S. cerevisiae)</v>
      </c>
      <c r="J153" t="str">
        <f t="shared" si="8"/>
        <v>protein coding gene</v>
      </c>
    </row>
    <row r="154" spans="1:10">
      <c r="A154">
        <v>10535065</v>
      </c>
      <c r="B154">
        <v>4.216862209806</v>
      </c>
      <c r="C154">
        <v>2.7334180389834</v>
      </c>
      <c r="E154" t="str">
        <f>"10535065"</f>
        <v>10535065</v>
      </c>
      <c r="F154" t="str">
        <f t="shared" si="5"/>
        <v>Affy 1.0 ST</v>
      </c>
      <c r="G154" t="str">
        <f>"MGI:2442201"</f>
        <v>MGI:2442201</v>
      </c>
      <c r="H154" t="str">
        <f>"Adap1"</f>
        <v>Adap1</v>
      </c>
      <c r="I154" t="str">
        <f>"ArfGAP with dual PH domains 1"</f>
        <v>ArfGAP with dual PH domains 1</v>
      </c>
      <c r="J154" t="str">
        <f t="shared" si="8"/>
        <v>protein coding gene</v>
      </c>
    </row>
    <row r="155" spans="1:10">
      <c r="A155">
        <v>10577508</v>
      </c>
      <c r="B155">
        <v>4.1771480247193598</v>
      </c>
      <c r="C155">
        <v>2.6370241578673501</v>
      </c>
      <c r="E155" t="str">
        <f>"10577508"</f>
        <v>10577508</v>
      </c>
      <c r="F155" t="str">
        <f t="shared" si="5"/>
        <v>Affy 1.0 ST</v>
      </c>
      <c r="G155" t="str">
        <f>"MGI:1931797"</f>
        <v>MGI:1931797</v>
      </c>
      <c r="H155" t="str">
        <f>"Ckap2"</f>
        <v>Ckap2</v>
      </c>
      <c r="I155" t="str">
        <f>"cytoskeleton associated protein 2"</f>
        <v>cytoskeleton associated protein 2</v>
      </c>
      <c r="J155" t="str">
        <f t="shared" si="8"/>
        <v>protein coding gene</v>
      </c>
    </row>
    <row r="156" spans="1:10">
      <c r="A156">
        <v>10446027</v>
      </c>
      <c r="B156">
        <v>4.1686764699410102</v>
      </c>
      <c r="C156">
        <v>1.2645879577741099</v>
      </c>
      <c r="E156" t="str">
        <f>"10446027"</f>
        <v>10446027</v>
      </c>
      <c r="F156" t="str">
        <f t="shared" si="5"/>
        <v>Affy 1.0 ST</v>
      </c>
      <c r="G156" t="str">
        <f>"MGI:1351331"</f>
        <v>MGI:1351331</v>
      </c>
      <c r="H156" t="str">
        <f>"Chaf1a"</f>
        <v>Chaf1a</v>
      </c>
      <c r="I156" t="s">
        <v>2051</v>
      </c>
      <c r="J156" t="s">
        <v>2010</v>
      </c>
    </row>
    <row r="157" spans="1:10">
      <c r="A157">
        <v>10539135</v>
      </c>
      <c r="B157">
        <v>4.1661895083792704</v>
      </c>
      <c r="C157">
        <v>2.0807702624156601</v>
      </c>
      <c r="E157" t="str">
        <f>"10539135"</f>
        <v>10539135</v>
      </c>
      <c r="F157" t="str">
        <f t="shared" si="5"/>
        <v>Affy 1.0 ST</v>
      </c>
      <c r="G157" t="str">
        <f>"MGI:1098259"</f>
        <v>MGI:1098259</v>
      </c>
      <c r="H157" t="str">
        <f>"Capg"</f>
        <v>Capg</v>
      </c>
      <c r="I157" t="s">
        <v>2036</v>
      </c>
      <c r="J157" t="s">
        <v>2010</v>
      </c>
    </row>
    <row r="158" spans="1:10">
      <c r="A158">
        <v>10416037</v>
      </c>
      <c r="B158">
        <v>4.1593737760206704</v>
      </c>
      <c r="C158">
        <v>1.7719862012223699</v>
      </c>
      <c r="E158" t="str">
        <f>"10416037"</f>
        <v>10416037</v>
      </c>
      <c r="F158" t="str">
        <f t="shared" si="5"/>
        <v>Affy 1.0 ST</v>
      </c>
      <c r="G158" t="str">
        <f>"MGI:1289156"</f>
        <v>MGI:1289156</v>
      </c>
      <c r="H158" t="str">
        <f>"Pbk"</f>
        <v>Pbk</v>
      </c>
      <c r="I158" t="str">
        <f>"PDZ binding kinase"</f>
        <v>PDZ binding kinase</v>
      </c>
      <c r="J158" t="str">
        <f>"protein coding gene"</f>
        <v>protein coding gene</v>
      </c>
    </row>
    <row r="159" spans="1:10">
      <c r="A159">
        <v>10375443</v>
      </c>
      <c r="B159">
        <v>4.1400962541350701</v>
      </c>
      <c r="C159">
        <v>2.7480856662025599</v>
      </c>
      <c r="E159" t="str">
        <f>"10375443"</f>
        <v>10375443</v>
      </c>
      <c r="F159" t="str">
        <f t="shared" si="5"/>
        <v>Affy 1.0 ST</v>
      </c>
      <c r="G159" t="str">
        <f>"MGI:2159682"</f>
        <v>MGI:2159682</v>
      </c>
      <c r="H159" t="str">
        <f>"Havcr2"</f>
        <v>Havcr2</v>
      </c>
      <c r="I159" t="str">
        <f>"hepatitis A virus cellular receptor 2"</f>
        <v>hepatitis A virus cellular receptor 2</v>
      </c>
      <c r="J159" t="str">
        <f>"protein coding gene"</f>
        <v>protein coding gene</v>
      </c>
    </row>
    <row r="160" spans="1:10">
      <c r="A160">
        <v>10486396</v>
      </c>
      <c r="B160">
        <v>4.1285780161023302</v>
      </c>
      <c r="C160">
        <v>2.2890936556569801</v>
      </c>
      <c r="E160" t="str">
        <f>"10486396"</f>
        <v>10486396</v>
      </c>
      <c r="F160" t="str">
        <f t="shared" si="5"/>
        <v>Affy 1.0 ST</v>
      </c>
      <c r="G160" t="str">
        <f>"MGI:1919619"</f>
        <v>MGI:1919619</v>
      </c>
      <c r="H160" t="str">
        <f>"Ehd4"</f>
        <v>Ehd4</v>
      </c>
      <c r="I160" t="str">
        <f>"EH-domain containing 4"</f>
        <v>EH-domain containing 4</v>
      </c>
      <c r="J160" t="str">
        <f>"protein coding gene"</f>
        <v>protein coding gene</v>
      </c>
    </row>
    <row r="161" spans="1:10">
      <c r="A161">
        <v>10399391</v>
      </c>
      <c r="B161">
        <v>4.1232320598610102</v>
      </c>
      <c r="C161">
        <v>2.66960270177549</v>
      </c>
      <c r="E161" t="str">
        <f>"10399391"</f>
        <v>10399391</v>
      </c>
      <c r="F161" t="str">
        <f t="shared" si="5"/>
        <v>Affy 1.0 ST</v>
      </c>
      <c r="G161" t="str">
        <f>"MGI:2443149"</f>
        <v>MGI:2443149</v>
      </c>
      <c r="H161" t="str">
        <f>"Gen1"</f>
        <v>Gen1</v>
      </c>
      <c r="I161" t="s">
        <v>2087</v>
      </c>
      <c r="J161" t="s">
        <v>2010</v>
      </c>
    </row>
    <row r="162" spans="1:10">
      <c r="A162">
        <v>10360985</v>
      </c>
      <c r="B162">
        <v>4.1192373591198104</v>
      </c>
      <c r="C162">
        <v>2.5848890250530601</v>
      </c>
      <c r="E162" t="str">
        <f>"10360985"</f>
        <v>10360985</v>
      </c>
      <c r="F162" t="str">
        <f t="shared" si="5"/>
        <v>Affy 1.0 ST</v>
      </c>
      <c r="G162" t="str">
        <f>"MGI:1313302"</f>
        <v>MGI:1313302</v>
      </c>
      <c r="H162" t="str">
        <f>"Cenpf"</f>
        <v>Cenpf</v>
      </c>
      <c r="I162" t="str">
        <f>"centromere protein F"</f>
        <v>centromere protein F</v>
      </c>
      <c r="J162" t="str">
        <f>"protein coding gene"</f>
        <v>protein coding gene</v>
      </c>
    </row>
    <row r="163" spans="1:10">
      <c r="A163">
        <v>10478355</v>
      </c>
      <c r="B163">
        <v>4.0831822051712399</v>
      </c>
      <c r="C163">
        <v>2.4937797921758502</v>
      </c>
      <c r="E163" t="str">
        <f>"10478355"</f>
        <v>10478355</v>
      </c>
      <c r="F163" t="str">
        <f t="shared" si="5"/>
        <v>Affy 1.0 ST</v>
      </c>
      <c r="G163" t="str">
        <f>"MGI:101785"</f>
        <v>MGI:101785</v>
      </c>
      <c r="H163" t="str">
        <f>"Mybl2"</f>
        <v>Mybl2</v>
      </c>
      <c r="I163" t="str">
        <f>"myeloblastosis oncogene-like 2"</f>
        <v>myeloblastosis oncogene-like 2</v>
      </c>
      <c r="J163" t="str">
        <f>"protein coding gene"</f>
        <v>protein coding gene</v>
      </c>
    </row>
    <row r="164" spans="1:10">
      <c r="A164">
        <v>10408087</v>
      </c>
      <c r="B164">
        <v>4.0296524094424599</v>
      </c>
      <c r="C164">
        <v>2.2614661928097299</v>
      </c>
      <c r="E164" t="str">
        <f>"10408087"</f>
        <v>10408087</v>
      </c>
      <c r="F164" t="str">
        <f t="shared" si="5"/>
        <v>Affy 1.0 ST</v>
      </c>
      <c r="G164" t="str">
        <f>"MGI:3702051"</f>
        <v>MGI:3702051</v>
      </c>
      <c r="H164" t="str">
        <f>"Hist1h2bq"</f>
        <v>Hist1h2bq</v>
      </c>
      <c r="I164" t="s">
        <v>2037</v>
      </c>
      <c r="J164" t="s">
        <v>2010</v>
      </c>
    </row>
    <row r="165" spans="1:10">
      <c r="A165">
        <v>10439895</v>
      </c>
      <c r="B165">
        <v>3.96050436909688</v>
      </c>
      <c r="C165">
        <v>2.5590449114251101</v>
      </c>
      <c r="E165" t="str">
        <f>"10439895"</f>
        <v>10439895</v>
      </c>
      <c r="F165" t="str">
        <f t="shared" si="5"/>
        <v>Affy 1.0 ST</v>
      </c>
      <c r="G165" t="str">
        <f>"MGI:1313266"</f>
        <v>MGI:1313266</v>
      </c>
      <c r="H165" t="str">
        <f>"Alcam"</f>
        <v>Alcam</v>
      </c>
      <c r="I165" t="str">
        <f>"activated leukocyte cell adhesion molecule"</f>
        <v>activated leukocyte cell adhesion molecule</v>
      </c>
      <c r="J165" t="str">
        <f>"protein coding gene"</f>
        <v>protein coding gene</v>
      </c>
    </row>
    <row r="166" spans="1:10">
      <c r="A166">
        <v>10408321</v>
      </c>
      <c r="B166">
        <v>3.9572133415119199</v>
      </c>
      <c r="C166">
        <v>2.2450014992619698</v>
      </c>
      <c r="E166" t="str">
        <f>"10408321"</f>
        <v>10408321</v>
      </c>
      <c r="F166" t="str">
        <f t="shared" si="5"/>
        <v>Affy 1.0 ST</v>
      </c>
      <c r="G166" t="str">
        <f>"MGI:1927344"</f>
        <v>MGI:1927344</v>
      </c>
      <c r="H166" t="str">
        <f>"Gmnn"</f>
        <v>Gmnn</v>
      </c>
      <c r="I166" t="str">
        <f>"geminin"</f>
        <v>geminin</v>
      </c>
      <c r="J166" t="str">
        <f>"protein coding gene"</f>
        <v>protein coding gene</v>
      </c>
    </row>
    <row r="167" spans="1:10">
      <c r="A167">
        <v>10472916</v>
      </c>
      <c r="B167">
        <v>3.9537263377967999</v>
      </c>
      <c r="C167">
        <v>2.0080069860966501</v>
      </c>
      <c r="E167" t="str">
        <f>"10472916"</f>
        <v>10472916</v>
      </c>
      <c r="F167" t="str">
        <f t="shared" si="5"/>
        <v>Affy 1.0 ST</v>
      </c>
      <c r="G167" t="str">
        <f>"MGI:1914203"</f>
        <v>MGI:1914203</v>
      </c>
      <c r="H167" t="str">
        <f>"Cdca7"</f>
        <v>Cdca7</v>
      </c>
      <c r="I167" t="str">
        <f>"cell division cycle associated 7"</f>
        <v>cell division cycle associated 7</v>
      </c>
      <c r="J167" t="str">
        <f>"protein coding gene"</f>
        <v>protein coding gene</v>
      </c>
    </row>
    <row r="168" spans="1:10">
      <c r="A168">
        <v>10503617</v>
      </c>
      <c r="B168">
        <v>3.9243705109754399</v>
      </c>
      <c r="C168">
        <v>1.4516677965318101</v>
      </c>
      <c r="E168" t="str">
        <f>"10503617"</f>
        <v>10503617</v>
      </c>
      <c r="F168" t="str">
        <f t="shared" si="5"/>
        <v>Affy 1.0 ST</v>
      </c>
      <c r="G168" t="str">
        <f>"MGI:2684980"</f>
        <v>MGI:2684980</v>
      </c>
      <c r="H168" t="str">
        <f>"Mms22l"</f>
        <v>Mms22l</v>
      </c>
      <c r="I168" t="s">
        <v>2159</v>
      </c>
      <c r="J168" t="s">
        <v>2010</v>
      </c>
    </row>
    <row r="169" spans="1:10">
      <c r="A169">
        <v>10547906</v>
      </c>
      <c r="B169">
        <v>3.9113008479775799</v>
      </c>
      <c r="C169">
        <v>1.81992663838798</v>
      </c>
      <c r="E169" t="str">
        <f>"10547906"</f>
        <v>10547906</v>
      </c>
      <c r="F169" t="str">
        <f t="shared" si="5"/>
        <v>Affy 1.0 ST</v>
      </c>
      <c r="G169" t="str">
        <f>"MGI:106588"</f>
        <v>MGI:106588</v>
      </c>
      <c r="H169" t="str">
        <f>"Lag3"</f>
        <v>Lag3</v>
      </c>
      <c r="I169" t="str">
        <f>"lymphocyte-activation gene 3"</f>
        <v>lymphocyte-activation gene 3</v>
      </c>
      <c r="J169" t="str">
        <f>"protein coding gene"</f>
        <v>protein coding gene</v>
      </c>
    </row>
    <row r="170" spans="1:10">
      <c r="A170">
        <v>10452709</v>
      </c>
      <c r="B170">
        <v>3.8446763625306399</v>
      </c>
      <c r="C170">
        <v>2.2021985755626599</v>
      </c>
      <c r="E170" t="str">
        <f>"10452709"</f>
        <v>10452709</v>
      </c>
      <c r="F170" t="str">
        <f t="shared" si="5"/>
        <v>Affy 1.0 ST</v>
      </c>
      <c r="G170" t="str">
        <f>"MGI:1914302"</f>
        <v>MGI:1914302</v>
      </c>
      <c r="H170" t="str">
        <f>"Ndc80"</f>
        <v>Ndc80</v>
      </c>
      <c r="I170" t="s">
        <v>2053</v>
      </c>
      <c r="J170" t="s">
        <v>2010</v>
      </c>
    </row>
    <row r="171" spans="1:10">
      <c r="A171">
        <v>10476989</v>
      </c>
      <c r="B171">
        <v>3.8353405051709801</v>
      </c>
      <c r="C171">
        <v>1.31483906159094</v>
      </c>
      <c r="E171" t="str">
        <f>"10476989"</f>
        <v>10476989</v>
      </c>
      <c r="F171" t="str">
        <f t="shared" si="5"/>
        <v>Affy 1.0 ST</v>
      </c>
      <c r="G171" t="str">
        <f>"MGI:1916520"</f>
        <v>MGI:1916520</v>
      </c>
      <c r="H171" t="str">
        <f>"Gins1"</f>
        <v>Gins1</v>
      </c>
      <c r="I171" t="str">
        <f>"GINS complex subunit 1 (Psf1 homolog)"</f>
        <v>GINS complex subunit 1 (Psf1 homolog)</v>
      </c>
      <c r="J171" t="str">
        <f>"protein coding gene"</f>
        <v>protein coding gene</v>
      </c>
    </row>
    <row r="172" spans="1:10">
      <c r="A172">
        <v>10491805</v>
      </c>
      <c r="B172">
        <v>3.7801804581907801</v>
      </c>
      <c r="C172">
        <v>1.4252360754965601</v>
      </c>
      <c r="E172" t="str">
        <f>"10491805"</f>
        <v>10491805</v>
      </c>
      <c r="F172" t="str">
        <f t="shared" si="5"/>
        <v>Affy 1.0 ST</v>
      </c>
      <c r="G172" t="str">
        <f>"MGI:101783"</f>
        <v>MGI:101783</v>
      </c>
      <c r="H172" t="str">
        <f>"Plk4"</f>
        <v>Plk4</v>
      </c>
      <c r="I172" t="str">
        <f>"polo-like kinase 4 (Drosophila)"</f>
        <v>polo-like kinase 4 (Drosophila)</v>
      </c>
      <c r="J172" t="str">
        <f>"protein coding gene"</f>
        <v>protein coding gene</v>
      </c>
    </row>
    <row r="173" spans="1:10">
      <c r="A173">
        <v>10503315</v>
      </c>
      <c r="B173">
        <v>3.7543104969344099</v>
      </c>
      <c r="C173">
        <v>1.51654513840856</v>
      </c>
      <c r="E173" t="str">
        <f>"10503315"</f>
        <v>10503315</v>
      </c>
      <c r="F173" t="str">
        <f t="shared" si="5"/>
        <v>Affy 1.0 ST</v>
      </c>
      <c r="G173" t="str">
        <f>"MGI:3605986"</f>
        <v>MGI:3605986</v>
      </c>
      <c r="H173" t="str">
        <f>"Rad54b"</f>
        <v>Rad54b</v>
      </c>
      <c r="I173" t="str">
        <f>"RAD54 homolog B (S. cerevisiae)"</f>
        <v>RAD54 homolog B (S. cerevisiae)</v>
      </c>
      <c r="J173" t="str">
        <f>"protein coding gene"</f>
        <v>protein coding gene</v>
      </c>
    </row>
    <row r="174" spans="1:10">
      <c r="A174">
        <v>10573615</v>
      </c>
      <c r="B174">
        <v>3.6852542400072799</v>
      </c>
      <c r="C174">
        <v>1.9094719935506099</v>
      </c>
      <c r="E174" t="str">
        <f>"10573615"</f>
        <v>10573615</v>
      </c>
      <c r="F174" t="str">
        <f t="shared" si="5"/>
        <v>Affy 1.0 ST</v>
      </c>
      <c r="G174" t="str">
        <f>"MGI:1929285"</f>
        <v>MGI:1929285</v>
      </c>
      <c r="H174" t="str">
        <f>"Orc6"</f>
        <v>Orc6</v>
      </c>
      <c r="I174" t="s">
        <v>2052</v>
      </c>
      <c r="J174" t="s">
        <v>2010</v>
      </c>
    </row>
    <row r="175" spans="1:10">
      <c r="A175">
        <v>10586454</v>
      </c>
      <c r="B175">
        <v>3.6652467306193199</v>
      </c>
      <c r="C175">
        <v>1.42863173413516</v>
      </c>
      <c r="E175" t="str">
        <f>"10586454"</f>
        <v>10586454</v>
      </c>
      <c r="F175" t="str">
        <f t="shared" si="5"/>
        <v>Affy 1.0 ST</v>
      </c>
      <c r="G175" t="str">
        <f>"MGI:2442964"</f>
        <v>MGI:2442964</v>
      </c>
      <c r="H175" t="str">
        <f>"D030028M11Rik"</f>
        <v>D030028M11Rik</v>
      </c>
      <c r="I175" t="str">
        <f>"RIKEN cDNA D030028M11 gene"</f>
        <v>RIKEN cDNA D030028M11 gene</v>
      </c>
      <c r="J175" t="str">
        <f>"unclassified gene"</f>
        <v>unclassified gene</v>
      </c>
    </row>
    <row r="176" spans="1:10">
      <c r="A176">
        <v>10438690</v>
      </c>
      <c r="B176">
        <v>3.6549596444276702</v>
      </c>
      <c r="C176">
        <v>1.85302454792508</v>
      </c>
      <c r="E176" t="str">
        <f>"10438690"</f>
        <v>10438690</v>
      </c>
      <c r="F176" t="str">
        <f t="shared" si="5"/>
        <v>Affy 1.0 ST</v>
      </c>
      <c r="G176" t="str">
        <f>"MGI:2146571"</f>
        <v>MGI:2146571</v>
      </c>
      <c r="H176" t="str">
        <f>"Rfc4"</f>
        <v>Rfc4</v>
      </c>
      <c r="I176" t="str">
        <f>"replication factor C (activator 1) 4"</f>
        <v>replication factor C (activator 1) 4</v>
      </c>
      <c r="J176" t="str">
        <f>"protein coding gene"</f>
        <v>protein coding gene</v>
      </c>
    </row>
    <row r="177" spans="1:10">
      <c r="A177">
        <v>10357436</v>
      </c>
      <c r="B177">
        <v>3.6275224729926201</v>
      </c>
      <c r="C177">
        <v>1.4823464574680201</v>
      </c>
      <c r="E177" t="str">
        <f>"10357436"</f>
        <v>10357436</v>
      </c>
      <c r="F177" t="str">
        <f t="shared" si="5"/>
        <v>Affy 1.0 ST</v>
      </c>
      <c r="G177" t="str">
        <f>"MGI:1298227"</f>
        <v>MGI:1298227</v>
      </c>
      <c r="H177" t="str">
        <f>"Mcm6"</f>
        <v>Mcm6</v>
      </c>
      <c r="I177" t="s">
        <v>2044</v>
      </c>
      <c r="J177" t="s">
        <v>2010</v>
      </c>
    </row>
    <row r="178" spans="1:10">
      <c r="A178">
        <v>10428672</v>
      </c>
      <c r="B178">
        <v>3.62256615830385</v>
      </c>
      <c r="C178">
        <v>1.5090941420003501</v>
      </c>
      <c r="E178" t="str">
        <f>"10428672"</f>
        <v>10428672</v>
      </c>
      <c r="F178" t="str">
        <f t="shared" si="5"/>
        <v>Affy 1.0 ST</v>
      </c>
      <c r="G178" t="str">
        <f>"MGI:1919357"</f>
        <v>MGI:1919357</v>
      </c>
      <c r="H178" t="str">
        <f>"Dscc1"</f>
        <v>Dscc1</v>
      </c>
      <c r="I178" t="str">
        <f>"defective in sister chromatid cohesion 1 homolog (S. cerevisiae)"</f>
        <v>defective in sister chromatid cohesion 1 homolog (S. cerevisiae)</v>
      </c>
      <c r="J178" t="str">
        <f t="shared" ref="J178:J183" si="9">"protein coding gene"</f>
        <v>protein coding gene</v>
      </c>
    </row>
    <row r="179" spans="1:10">
      <c r="A179">
        <v>10546163</v>
      </c>
      <c r="B179">
        <v>3.6028169096871401</v>
      </c>
      <c r="C179">
        <v>1.2784610084089101</v>
      </c>
      <c r="E179" t="str">
        <f>"10546163"</f>
        <v>10546163</v>
      </c>
      <c r="F179" t="str">
        <f t="shared" si="5"/>
        <v>Affy 1.0 ST</v>
      </c>
      <c r="G179" t="str">
        <f>"MGI:105380"</f>
        <v>MGI:105380</v>
      </c>
      <c r="H179" t="str">
        <f>"Mcm2"</f>
        <v>Mcm2</v>
      </c>
      <c r="I179" t="str">
        <f>"minichromosome maintenance deficient 2 mitotin (S. cerevisiae)"</f>
        <v>minichromosome maintenance deficient 2 mitotin (S. cerevisiae)</v>
      </c>
      <c r="J179" t="str">
        <f t="shared" si="9"/>
        <v>protein coding gene</v>
      </c>
    </row>
    <row r="180" spans="1:10">
      <c r="A180">
        <v>10461391</v>
      </c>
      <c r="B180">
        <v>3.6018171253867299</v>
      </c>
      <c r="C180">
        <v>0.99385712676582505</v>
      </c>
      <c r="E180" t="str">
        <f>"10461391"</f>
        <v>10461391</v>
      </c>
      <c r="F180" t="str">
        <f t="shared" si="5"/>
        <v>Affy 1.0 ST</v>
      </c>
      <c r="G180" t="str">
        <f>"MGI:97503"</f>
        <v>MGI:97503</v>
      </c>
      <c r="H180" t="str">
        <f>"Pcna"</f>
        <v>Pcna</v>
      </c>
      <c r="I180" t="str">
        <f>"proliferating cell nuclear antigen"</f>
        <v>proliferating cell nuclear antigen</v>
      </c>
      <c r="J180" t="str">
        <f t="shared" si="9"/>
        <v>protein coding gene</v>
      </c>
    </row>
    <row r="181" spans="1:10">
      <c r="A181">
        <v>10437945</v>
      </c>
      <c r="B181">
        <v>3.52718219041421</v>
      </c>
      <c r="C181">
        <v>0.84205922705065495</v>
      </c>
      <c r="E181" t="str">
        <f>"10437945"</f>
        <v>10437945</v>
      </c>
      <c r="F181" t="str">
        <f t="shared" si="5"/>
        <v>Affy 1.0 ST</v>
      </c>
      <c r="G181" t="str">
        <f>"MGI:103199"</f>
        <v>MGI:103199</v>
      </c>
      <c r="H181" t="str">
        <f>"Mcm4"</f>
        <v>Mcm4</v>
      </c>
      <c r="I181" t="str">
        <f>"minichromosome maintenance deficient 4 homolog (S. cerevisiae)"</f>
        <v>minichromosome maintenance deficient 4 homolog (S. cerevisiae)</v>
      </c>
      <c r="J181" t="str">
        <f t="shared" si="9"/>
        <v>protein coding gene</v>
      </c>
    </row>
    <row r="182" spans="1:10">
      <c r="A182">
        <v>10587107</v>
      </c>
      <c r="B182">
        <v>3.4918502952681401</v>
      </c>
      <c r="C182">
        <v>1.2690830233196799</v>
      </c>
      <c r="E182" t="str">
        <f>"10587107"</f>
        <v>10587107</v>
      </c>
      <c r="F182" t="str">
        <f t="shared" si="5"/>
        <v>Affy 1.0 ST</v>
      </c>
      <c r="G182" t="str">
        <f>"MGI:105976"</f>
        <v>MGI:105976</v>
      </c>
      <c r="H182" t="str">
        <f>"Myo5a"</f>
        <v>Myo5a</v>
      </c>
      <c r="I182" t="str">
        <f>"myosin VA"</f>
        <v>myosin VA</v>
      </c>
      <c r="J182" t="str">
        <f t="shared" si="9"/>
        <v>protein coding gene</v>
      </c>
    </row>
    <row r="183" spans="1:10">
      <c r="A183">
        <v>10535979</v>
      </c>
      <c r="B183">
        <v>3.4706044448195001</v>
      </c>
      <c r="C183">
        <v>1.09715980763828</v>
      </c>
      <c r="E183" t="str">
        <f>"10535979"</f>
        <v>10535979</v>
      </c>
      <c r="F183" t="str">
        <f t="shared" si="5"/>
        <v>Affy 1.0 ST</v>
      </c>
      <c r="G183" t="str">
        <f>"MGI:1916513"</f>
        <v>MGI:1916513</v>
      </c>
      <c r="H183" t="str">
        <f>"Rfc3"</f>
        <v>Rfc3</v>
      </c>
      <c r="I183" t="str">
        <f>"replication factor C (activator 1) 3"</f>
        <v>replication factor C (activator 1) 3</v>
      </c>
      <c r="J183" t="str">
        <f t="shared" si="9"/>
        <v>protein coding gene</v>
      </c>
    </row>
    <row r="184" spans="1:10">
      <c r="A184">
        <v>10586076</v>
      </c>
      <c r="B184">
        <v>3.4580965316985202</v>
      </c>
      <c r="C184">
        <v>1.13421333119945</v>
      </c>
      <c r="E184" t="str">
        <f>"10586076"</f>
        <v>10586076</v>
      </c>
      <c r="F184" t="str">
        <f>""</f>
        <v/>
      </c>
      <c r="G184" t="str">
        <f>"No associated gene"</f>
        <v>No associated gene</v>
      </c>
    </row>
    <row r="185" spans="1:10">
      <c r="A185">
        <v>10478572</v>
      </c>
      <c r="B185">
        <v>3.4551462306913701</v>
      </c>
      <c r="C185">
        <v>1.92139074367684</v>
      </c>
      <c r="E185" t="str">
        <f>"10478572"</f>
        <v>10478572</v>
      </c>
      <c r="F185" t="str">
        <f t="shared" ref="F185:F208" si="10">"Affy 1.0 ST"</f>
        <v>Affy 1.0 ST</v>
      </c>
      <c r="G185" t="str">
        <f>"MGI:1915862"</f>
        <v>MGI:1915862</v>
      </c>
      <c r="H185" t="str">
        <f>"Ube2c"</f>
        <v>Ube2c</v>
      </c>
      <c r="I185" t="str">
        <f>"ubiquitin-conjugating enzyme E2C"</f>
        <v>ubiquitin-conjugating enzyme E2C</v>
      </c>
      <c r="J185" t="str">
        <f t="shared" ref="J185:J191" si="11">"protein coding gene"</f>
        <v>protein coding gene</v>
      </c>
    </row>
    <row r="186" spans="1:10">
      <c r="A186">
        <v>10606436</v>
      </c>
      <c r="B186">
        <v>3.4399128087442898</v>
      </c>
      <c r="C186">
        <v>1.7727779155124299</v>
      </c>
      <c r="E186" t="str">
        <f>"10606436"</f>
        <v>10606436</v>
      </c>
      <c r="F186" t="str">
        <f t="shared" si="10"/>
        <v>Affy 1.0 ST</v>
      </c>
      <c r="G186" t="str">
        <f>"MGI:1355295"</f>
        <v>MGI:1355295</v>
      </c>
      <c r="H186" t="str">
        <f>"Hmgn5"</f>
        <v>Hmgn5</v>
      </c>
      <c r="I186" t="str">
        <f>"high-mobility group nucleosome binding domain 5"</f>
        <v>high-mobility group nucleosome binding domain 5</v>
      </c>
      <c r="J186" t="str">
        <f t="shared" si="11"/>
        <v>protein coding gene</v>
      </c>
    </row>
    <row r="187" spans="1:10">
      <c r="A187">
        <v>10427166</v>
      </c>
      <c r="B187">
        <v>3.3952517108942302</v>
      </c>
      <c r="C187">
        <v>1.99149930564268</v>
      </c>
      <c r="E187" t="str">
        <f>"10427166"</f>
        <v>10427166</v>
      </c>
      <c r="F187" t="str">
        <f t="shared" si="10"/>
        <v>Affy 1.0 ST</v>
      </c>
      <c r="G187" t="str">
        <f>"MGI:2146156"</f>
        <v>MGI:2146156</v>
      </c>
      <c r="H187" t="str">
        <f>"Espl1"</f>
        <v>Espl1</v>
      </c>
      <c r="I187" t="str">
        <f>"extra spindle poles-like 1 (S. cerevisiae)"</f>
        <v>extra spindle poles-like 1 (S. cerevisiae)</v>
      </c>
      <c r="J187" t="str">
        <f t="shared" si="11"/>
        <v>protein coding gene</v>
      </c>
    </row>
    <row r="188" spans="1:10">
      <c r="A188">
        <v>10373530</v>
      </c>
      <c r="B188">
        <v>3.3895784590272799</v>
      </c>
      <c r="C188">
        <v>1.80848903465995</v>
      </c>
      <c r="E188" t="str">
        <f>"10373530"</f>
        <v>10373530</v>
      </c>
      <c r="F188" t="str">
        <f t="shared" si="10"/>
        <v>Affy 1.0 ST</v>
      </c>
      <c r="G188" t="str">
        <f>"MGI:104772"</f>
        <v>MGI:104772</v>
      </c>
      <c r="H188" t="str">
        <f>"Cdk2"</f>
        <v>Cdk2</v>
      </c>
      <c r="I188" t="str">
        <f>"cyclin-dependent kinase 2"</f>
        <v>cyclin-dependent kinase 2</v>
      </c>
      <c r="J188" t="str">
        <f t="shared" si="11"/>
        <v>protein coding gene</v>
      </c>
    </row>
    <row r="189" spans="1:10">
      <c r="A189">
        <v>10488785</v>
      </c>
      <c r="B189">
        <v>3.3872388980808399</v>
      </c>
      <c r="C189">
        <v>0.49565947748429001</v>
      </c>
      <c r="E189" t="str">
        <f>"10488785"</f>
        <v>10488785</v>
      </c>
      <c r="F189" t="str">
        <f t="shared" si="10"/>
        <v>Affy 1.0 ST</v>
      </c>
      <c r="G189" t="str">
        <f>"MGI:101941"</f>
        <v>MGI:101941</v>
      </c>
      <c r="H189" t="str">
        <f>"E2f1"</f>
        <v>E2f1</v>
      </c>
      <c r="I189" t="str">
        <f>"E2F transcription factor 1"</f>
        <v>E2F transcription factor 1</v>
      </c>
      <c r="J189" t="str">
        <f t="shared" si="11"/>
        <v>protein coding gene</v>
      </c>
    </row>
    <row r="190" spans="1:10">
      <c r="A190">
        <v>10606071</v>
      </c>
      <c r="B190">
        <v>3.3235811339619801</v>
      </c>
      <c r="C190">
        <v>1.45828180942615</v>
      </c>
      <c r="E190" t="str">
        <f>"10606071"</f>
        <v>10606071</v>
      </c>
      <c r="F190" t="str">
        <f t="shared" si="10"/>
        <v>Affy 1.0 ST</v>
      </c>
      <c r="G190" t="str">
        <f>"MGI:2654144"</f>
        <v>MGI:2654144</v>
      </c>
      <c r="H190" t="str">
        <f>"Ercc6l"</f>
        <v>Ercc6l</v>
      </c>
      <c r="I190" t="str">
        <f>"excision repair cross-complementing rodent repair deficiency complementation group 6 - like"</f>
        <v>excision repair cross-complementing rodent repair deficiency complementation group 6 - like</v>
      </c>
      <c r="J190" t="str">
        <f t="shared" si="11"/>
        <v>protein coding gene</v>
      </c>
    </row>
    <row r="191" spans="1:10">
      <c r="A191">
        <v>10517336</v>
      </c>
      <c r="B191">
        <v>3.3179656814023</v>
      </c>
      <c r="C191">
        <v>1.6784091876763301</v>
      </c>
      <c r="E191" t="str">
        <f>"10517336"</f>
        <v>10517336</v>
      </c>
      <c r="F191" t="str">
        <f t="shared" si="10"/>
        <v>Affy 1.0 ST</v>
      </c>
      <c r="G191" t="str">
        <f>"MGI:1352754"</f>
        <v>MGI:1352754</v>
      </c>
      <c r="H191" t="str">
        <f>"Clic4"</f>
        <v>Clic4</v>
      </c>
      <c r="I191" t="str">
        <f>"chloride intracellular channel 4 (mitochondrial)"</f>
        <v>chloride intracellular channel 4 (mitochondrial)</v>
      </c>
      <c r="J191" t="str">
        <f t="shared" si="11"/>
        <v>protein coding gene</v>
      </c>
    </row>
    <row r="192" spans="1:10">
      <c r="A192">
        <v>10500329</v>
      </c>
      <c r="B192">
        <v>3.2754002128362898</v>
      </c>
      <c r="C192">
        <v>1.66303917544729</v>
      </c>
      <c r="E192" t="str">
        <f>"10500329"</f>
        <v>10500329</v>
      </c>
      <c r="F192" t="str">
        <f t="shared" si="10"/>
        <v>Affy 1.0 ST</v>
      </c>
      <c r="G192" t="str">
        <f>"MGI:96097"</f>
        <v>MGI:96097</v>
      </c>
      <c r="H192" t="str">
        <f>"Hist2h2aa1"</f>
        <v>Hist2h2aa1</v>
      </c>
      <c r="I192" t="s">
        <v>2045</v>
      </c>
      <c r="J192" t="s">
        <v>2010</v>
      </c>
    </row>
    <row r="193" spans="1:10">
      <c r="A193">
        <v>10500324</v>
      </c>
      <c r="B193">
        <v>3.2417727648347299</v>
      </c>
      <c r="C193">
        <v>1.52204811876987</v>
      </c>
      <c r="E193" t="str">
        <f>"10500324"</f>
        <v>10500324</v>
      </c>
      <c r="F193" t="str">
        <f t="shared" si="10"/>
        <v>Affy 1.0 ST</v>
      </c>
      <c r="G193" t="str">
        <f>"MGI:2448316"</f>
        <v>MGI:2448316</v>
      </c>
      <c r="H193" t="str">
        <f>"Hist2h2ac"</f>
        <v>Hist2h2ac</v>
      </c>
      <c r="I193" t="s">
        <v>2046</v>
      </c>
      <c r="J193" t="s">
        <v>2010</v>
      </c>
    </row>
    <row r="194" spans="1:10">
      <c r="A194">
        <v>10408477</v>
      </c>
      <c r="B194">
        <v>3.2375430578749298</v>
      </c>
      <c r="C194">
        <v>0.59486438622267901</v>
      </c>
      <c r="E194" t="str">
        <f>"10408477"</f>
        <v>10408477</v>
      </c>
      <c r="F194" t="str">
        <f t="shared" si="10"/>
        <v>Affy 1.0 ST</v>
      </c>
      <c r="G194" t="str">
        <f>"MGI:1096340"</f>
        <v>MGI:1096340</v>
      </c>
      <c r="H194" t="str">
        <f>"E2f3"</f>
        <v>E2f3</v>
      </c>
      <c r="I194" t="str">
        <f>"E2F transcription factor 3"</f>
        <v>E2F transcription factor 3</v>
      </c>
      <c r="J194" t="str">
        <f>"protein coding gene"</f>
        <v>protein coding gene</v>
      </c>
    </row>
    <row r="195" spans="1:10">
      <c r="A195">
        <v>10487930</v>
      </c>
      <c r="B195">
        <v>3.2355646699525198</v>
      </c>
      <c r="C195">
        <v>0.78432560343142999</v>
      </c>
      <c r="E195" t="str">
        <f>"10487930"</f>
        <v>10487930</v>
      </c>
      <c r="F195" t="str">
        <f t="shared" si="10"/>
        <v>Affy 1.0 ST</v>
      </c>
      <c r="G195" t="str">
        <f>"MGI:97503"</f>
        <v>MGI:97503</v>
      </c>
      <c r="H195" t="str">
        <f>"Pcna"</f>
        <v>Pcna</v>
      </c>
      <c r="I195" t="str">
        <f>"proliferating cell nuclear antigen"</f>
        <v>proliferating cell nuclear antigen</v>
      </c>
      <c r="J195" t="str">
        <f>"protein coding gene"</f>
        <v>protein coding gene</v>
      </c>
    </row>
    <row r="196" spans="1:10">
      <c r="A196">
        <v>10462632</v>
      </c>
      <c r="B196">
        <v>3.1869551992937102</v>
      </c>
      <c r="C196">
        <v>1.48641529536372</v>
      </c>
      <c r="E196" t="str">
        <f>"10462632"</f>
        <v>10462632</v>
      </c>
      <c r="F196" t="str">
        <f t="shared" si="10"/>
        <v>Affy 1.0 ST</v>
      </c>
      <c r="G196" t="str">
        <f>"MGI:2444576"</f>
        <v>MGI:2444576</v>
      </c>
      <c r="H196" t="str">
        <f>"Kif20b"</f>
        <v>Kif20b</v>
      </c>
      <c r="I196" t="str">
        <f>"kinesin family member 20B"</f>
        <v>kinesin family member 20B</v>
      </c>
      <c r="J196" t="str">
        <f>"protein coding gene"</f>
        <v>protein coding gene</v>
      </c>
    </row>
    <row r="197" spans="1:10">
      <c r="A197">
        <v>10428763</v>
      </c>
      <c r="B197">
        <v>3.1828450292019599</v>
      </c>
      <c r="C197">
        <v>1.1993189324236699</v>
      </c>
      <c r="E197" t="str">
        <f>"10428763"</f>
        <v>10428763</v>
      </c>
      <c r="F197" t="str">
        <f t="shared" si="10"/>
        <v>Affy 1.0 ST</v>
      </c>
      <c r="G197" t="str">
        <f>"MGI:1917722"</f>
        <v>MGI:1917722</v>
      </c>
      <c r="H197" t="str">
        <f>"Atad2"</f>
        <v>Atad2</v>
      </c>
      <c r="I197" t="s">
        <v>2065</v>
      </c>
      <c r="J197" t="s">
        <v>2010</v>
      </c>
    </row>
    <row r="198" spans="1:10">
      <c r="A198">
        <v>10594988</v>
      </c>
      <c r="B198">
        <v>3.1712303492950502</v>
      </c>
      <c r="C198">
        <v>1.32575179776163</v>
      </c>
      <c r="E198" t="str">
        <f>"10594988"</f>
        <v>10594988</v>
      </c>
      <c r="F198" t="str">
        <f t="shared" si="10"/>
        <v>Affy 1.0 ST</v>
      </c>
      <c r="G198" t="str">
        <f>"MGI:1354946"</f>
        <v>MGI:1354946</v>
      </c>
      <c r="H198" t="str">
        <f>"Mapk6"</f>
        <v>Mapk6</v>
      </c>
      <c r="I198" t="str">
        <f>"mitogen-activated protein kinase 6"</f>
        <v>mitogen-activated protein kinase 6</v>
      </c>
      <c r="J198" t="str">
        <f>"protein coding gene"</f>
        <v>protein coding gene</v>
      </c>
    </row>
    <row r="199" spans="1:10">
      <c r="A199">
        <v>10527801</v>
      </c>
      <c r="B199">
        <v>3.15887805387238</v>
      </c>
      <c r="C199">
        <v>1.57135124656706</v>
      </c>
      <c r="E199" t="str">
        <f>"10527801"</f>
        <v>10527801</v>
      </c>
      <c r="F199" t="str">
        <f t="shared" si="10"/>
        <v>Affy 1.0 ST</v>
      </c>
      <c r="G199" t="str">
        <f>"MGI:109337"</f>
        <v>MGI:109337</v>
      </c>
      <c r="H199" t="str">
        <f>"Brca2"</f>
        <v>Brca2</v>
      </c>
      <c r="I199" t="str">
        <f>"breast cancer 2"</f>
        <v>breast cancer 2</v>
      </c>
      <c r="J199" t="str">
        <f>"protein coding gene"</f>
        <v>protein coding gene</v>
      </c>
    </row>
    <row r="200" spans="1:10">
      <c r="A200">
        <v>10465861</v>
      </c>
      <c r="B200">
        <v>3.1363195161647202</v>
      </c>
      <c r="C200">
        <v>1.8208481360442299</v>
      </c>
      <c r="E200" t="str">
        <f>"10465861"</f>
        <v>10465861</v>
      </c>
      <c r="F200" t="str">
        <f t="shared" si="10"/>
        <v>Affy 1.0 ST</v>
      </c>
      <c r="G200" t="str">
        <f>"MGI:1313288"</f>
        <v>MGI:1313288</v>
      </c>
      <c r="H200" t="str">
        <f>"Incenp"</f>
        <v>Incenp</v>
      </c>
      <c r="I200" t="str">
        <f>"inner centromere protein"</f>
        <v>inner centromere protein</v>
      </c>
      <c r="J200" t="str">
        <f>"protein coding gene"</f>
        <v>protein coding gene</v>
      </c>
    </row>
    <row r="201" spans="1:10">
      <c r="A201">
        <v>10495945</v>
      </c>
      <c r="B201">
        <v>3.1307365420364199</v>
      </c>
      <c r="C201">
        <v>0.90953305439487897</v>
      </c>
      <c r="E201" t="str">
        <f>"10495945"</f>
        <v>10495945</v>
      </c>
      <c r="F201" t="str">
        <f t="shared" si="10"/>
        <v>Affy 1.0 ST</v>
      </c>
      <c r="G201" t="str">
        <f>"MGI:1918893"</f>
        <v>MGI:1918893</v>
      </c>
      <c r="H201" t="str">
        <f>"4930422G04Rik"</f>
        <v>4930422G04Rik</v>
      </c>
      <c r="I201" t="str">
        <f>"RIKEN cDNA 4930422G04 gene"</f>
        <v>RIKEN cDNA 4930422G04 gene</v>
      </c>
      <c r="J201" t="str">
        <f>"protein coding gene"</f>
        <v>protein coding gene</v>
      </c>
    </row>
    <row r="202" spans="1:10">
      <c r="A202">
        <v>10415791</v>
      </c>
      <c r="B202">
        <v>3.1228615114947802</v>
      </c>
      <c r="C202">
        <v>1.5854206075173201</v>
      </c>
      <c r="E202" t="str">
        <f>"10415791"</f>
        <v>10415791</v>
      </c>
      <c r="F202" t="str">
        <f t="shared" si="10"/>
        <v>Affy 1.0 ST</v>
      </c>
      <c r="G202" t="str">
        <f>"MGI:1914403"</f>
        <v>MGI:1914403</v>
      </c>
      <c r="H202" t="str">
        <f>"Rnaseh2b"</f>
        <v>Rnaseh2b</v>
      </c>
      <c r="I202" t="s">
        <v>2047</v>
      </c>
      <c r="J202" t="s">
        <v>2010</v>
      </c>
    </row>
    <row r="203" spans="1:10">
      <c r="A203">
        <v>10506822</v>
      </c>
      <c r="B203">
        <v>3.1186686716009202</v>
      </c>
      <c r="C203">
        <v>1.0214966681713999</v>
      </c>
      <c r="E203" t="str">
        <f>"10506822"</f>
        <v>10506822</v>
      </c>
      <c r="F203" t="str">
        <f t="shared" si="10"/>
        <v>Affy 1.0 ST</v>
      </c>
      <c r="G203" t="str">
        <f>"MGI:1328337"</f>
        <v>MGI:1328337</v>
      </c>
      <c r="H203" t="str">
        <f>"Orc1"</f>
        <v>Orc1</v>
      </c>
      <c r="I203" t="s">
        <v>2068</v>
      </c>
      <c r="J203" t="s">
        <v>2010</v>
      </c>
    </row>
    <row r="204" spans="1:10">
      <c r="A204">
        <v>10515090</v>
      </c>
      <c r="B204">
        <v>3.1163768573305801</v>
      </c>
      <c r="C204">
        <v>1.2481113416198399</v>
      </c>
      <c r="E204" t="str">
        <f>"10515090"</f>
        <v>10515090</v>
      </c>
      <c r="F204" t="str">
        <f t="shared" si="10"/>
        <v>Affy 1.0 ST</v>
      </c>
      <c r="G204" t="str">
        <f>"MGI:105388"</f>
        <v>MGI:105388</v>
      </c>
      <c r="H204" t="str">
        <f>"Cdkn2c"</f>
        <v>Cdkn2c</v>
      </c>
      <c r="I204" t="s">
        <v>2048</v>
      </c>
      <c r="J204" t="s">
        <v>2010</v>
      </c>
    </row>
    <row r="205" spans="1:10">
      <c r="A205">
        <v>10589420</v>
      </c>
      <c r="B205">
        <v>3.1035723090103899</v>
      </c>
      <c r="C205">
        <v>1.45280449964031</v>
      </c>
      <c r="E205" t="str">
        <f>"10589420"</f>
        <v>10589420</v>
      </c>
      <c r="F205" t="str">
        <f t="shared" si="10"/>
        <v>Affy 1.0 ST</v>
      </c>
      <c r="G205" t="str">
        <f>"MGI:103198"</f>
        <v>MGI:103198</v>
      </c>
      <c r="H205" t="str">
        <f>"Cdc25a"</f>
        <v>Cdc25a</v>
      </c>
      <c r="I205" t="str">
        <f>"cell division cycle 25 homolog A (S. pombe)"</f>
        <v>cell division cycle 25 homolog A (S. pombe)</v>
      </c>
      <c r="J205" t="str">
        <f>"protein coding gene"</f>
        <v>protein coding gene</v>
      </c>
    </row>
    <row r="206" spans="1:10">
      <c r="A206">
        <v>10378848</v>
      </c>
      <c r="B206">
        <v>3.0890503902169999</v>
      </c>
      <c r="C206">
        <v>1.2679681405088301</v>
      </c>
      <c r="E206" t="str">
        <f>"10378848"</f>
        <v>10378848</v>
      </c>
      <c r="F206" t="str">
        <f t="shared" si="10"/>
        <v>Affy 1.0 ST</v>
      </c>
      <c r="G206" t="str">
        <f>"MGI:96250"</f>
        <v>MGI:96250</v>
      </c>
      <c r="H206" t="str">
        <f>"Hsp90aa1"</f>
        <v>Hsp90aa1</v>
      </c>
      <c r="I206" t="s">
        <v>1970</v>
      </c>
      <c r="J206" t="s">
        <v>2010</v>
      </c>
    </row>
    <row r="207" spans="1:10">
      <c r="A207">
        <v>10435581</v>
      </c>
      <c r="B207">
        <v>3.08168389343634</v>
      </c>
      <c r="C207">
        <v>1.01876230120136</v>
      </c>
      <c r="E207" t="str">
        <f>"10435581"</f>
        <v>10435581</v>
      </c>
      <c r="F207" t="str">
        <f t="shared" si="10"/>
        <v>Affy 1.0 ST</v>
      </c>
      <c r="G207" t="str">
        <f>"MGI:2155399"</f>
        <v>MGI:2155399</v>
      </c>
      <c r="H207" t="str">
        <f>"Polq"</f>
        <v>Polq</v>
      </c>
      <c r="I207" t="s">
        <v>2183</v>
      </c>
      <c r="J207" t="s">
        <v>2010</v>
      </c>
    </row>
    <row r="208" spans="1:10">
      <c r="A208">
        <v>10515884</v>
      </c>
      <c r="B208">
        <v>3.0390533131951698</v>
      </c>
      <c r="C208">
        <v>0.81812506689884701</v>
      </c>
      <c r="E208" t="str">
        <f>"10515884"</f>
        <v>10515884</v>
      </c>
      <c r="F208" t="str">
        <f t="shared" si="10"/>
        <v>Affy 1.0 ST</v>
      </c>
      <c r="G208" t="str">
        <f>"MGI:106499"</f>
        <v>MGI:106499</v>
      </c>
      <c r="H208" t="str">
        <f>"Ppih"</f>
        <v>Ppih</v>
      </c>
      <c r="I208" t="str">
        <f>"peptidyl prolyl isomerase H"</f>
        <v>peptidyl prolyl isomerase H</v>
      </c>
      <c r="J208" t="str">
        <f>"protein coding gene"</f>
        <v>protein coding gene</v>
      </c>
    </row>
    <row r="209" spans="1:10">
      <c r="A209">
        <v>10340900</v>
      </c>
      <c r="B209">
        <v>3.0337546188484801</v>
      </c>
      <c r="C209">
        <v>0.853278745784811</v>
      </c>
      <c r="E209" t="str">
        <f>"10340900"</f>
        <v>10340900</v>
      </c>
      <c r="F209" t="str">
        <f>""</f>
        <v/>
      </c>
      <c r="G209" t="str">
        <f>"No associated gene"</f>
        <v>No associated gene</v>
      </c>
    </row>
    <row r="210" spans="1:10">
      <c r="A210">
        <v>10451547</v>
      </c>
      <c r="B210">
        <v>3.0275609643977499</v>
      </c>
      <c r="C210">
        <v>1.24418401870044</v>
      </c>
      <c r="E210" t="str">
        <f>"10451547"</f>
        <v>10451547</v>
      </c>
      <c r="F210" t="str">
        <f>""</f>
        <v/>
      </c>
      <c r="G210" t="str">
        <f>"No associated gene"</f>
        <v>No associated gene</v>
      </c>
    </row>
    <row r="211" spans="1:10">
      <c r="A211">
        <v>10494402</v>
      </c>
      <c r="B211">
        <v>3.0067002593377401</v>
      </c>
      <c r="C211">
        <v>0.32647329124229701</v>
      </c>
      <c r="E211" t="str">
        <f>"10494402"</f>
        <v>10494402</v>
      </c>
      <c r="F211" t="str">
        <f t="shared" ref="F211:F228" si="12">"Affy 1.0 ST"</f>
        <v>Affy 1.0 ST</v>
      </c>
      <c r="G211" t="str">
        <f>"MGI:2448355"</f>
        <v>MGI:2448355</v>
      </c>
      <c r="H211" t="str">
        <f>"Hist2h3c1"</f>
        <v>Hist2h3c1</v>
      </c>
      <c r="I211" t="s">
        <v>2161</v>
      </c>
      <c r="J211" t="s">
        <v>2010</v>
      </c>
    </row>
    <row r="212" spans="1:10">
      <c r="A212">
        <v>10582981</v>
      </c>
      <c r="B212">
        <v>2.9810108723841302</v>
      </c>
      <c r="C212">
        <v>0.89945800177468305</v>
      </c>
      <c r="E212" t="str">
        <f>"10582981"</f>
        <v>10582981</v>
      </c>
      <c r="F212" t="str">
        <f t="shared" si="12"/>
        <v>Affy 1.0 ST</v>
      </c>
      <c r="G212" t="str">
        <f>"MGI:101934"</f>
        <v>MGI:101934</v>
      </c>
      <c r="H212" t="str">
        <f>"Tfdp1"</f>
        <v>Tfdp1</v>
      </c>
      <c r="I212" t="str">
        <f>"transcription factor Dp 1"</f>
        <v>transcription factor Dp 1</v>
      </c>
      <c r="J212" t="str">
        <f>"protein coding gene"</f>
        <v>protein coding gene</v>
      </c>
    </row>
    <row r="213" spans="1:10">
      <c r="A213">
        <v>10465912</v>
      </c>
      <c r="B213">
        <v>2.9799820700137101</v>
      </c>
      <c r="C213">
        <v>1.0471228384454001</v>
      </c>
      <c r="E213" t="str">
        <f>"10465912"</f>
        <v>10465912</v>
      </c>
      <c r="F213" t="str">
        <f t="shared" si="12"/>
        <v>Affy 1.0 ST</v>
      </c>
      <c r="G213" t="str">
        <f>"MGI:102779"</f>
        <v>MGI:102779</v>
      </c>
      <c r="H213" t="str">
        <f>"Fen1"</f>
        <v>Fen1</v>
      </c>
      <c r="I213" t="str">
        <f>"flap structure specific endonuclease 1"</f>
        <v>flap structure specific endonuclease 1</v>
      </c>
      <c r="J213" t="str">
        <f>"protein coding gene"</f>
        <v>protein coding gene</v>
      </c>
    </row>
    <row r="214" spans="1:10">
      <c r="A214">
        <v>10539617</v>
      </c>
      <c r="B214">
        <v>2.95932179096449</v>
      </c>
      <c r="C214">
        <v>0.77664418224268505</v>
      </c>
      <c r="E214" t="str">
        <f>"10539617"</f>
        <v>10539617</v>
      </c>
      <c r="F214" t="str">
        <f t="shared" si="12"/>
        <v>Affy 1.0 ST</v>
      </c>
      <c r="G214" t="str">
        <f>"MGI:1934606"</f>
        <v>MGI:1934606</v>
      </c>
      <c r="H214" t="str">
        <f>"Alms1"</f>
        <v>Alms1</v>
      </c>
      <c r="I214" t="str">
        <f>"Alstrom syndrome 1 homolog (human)"</f>
        <v>Alstrom syndrome 1 homolog (human)</v>
      </c>
      <c r="J214" t="str">
        <f>"protein coding gene"</f>
        <v>protein coding gene</v>
      </c>
    </row>
    <row r="215" spans="1:10">
      <c r="A215">
        <v>10510574</v>
      </c>
      <c r="B215">
        <v>2.9223166698882101</v>
      </c>
      <c r="C215">
        <v>1.4068673032734</v>
      </c>
      <c r="E215" t="str">
        <f>"10510574"</f>
        <v>10510574</v>
      </c>
      <c r="F215" t="str">
        <f t="shared" si="12"/>
        <v>Affy 1.0 ST</v>
      </c>
      <c r="G215" t="str">
        <f>"MGI:1921405"</f>
        <v>MGI:1921405</v>
      </c>
      <c r="H215" t="str">
        <f>"Errfi1"</f>
        <v>Errfi1</v>
      </c>
      <c r="I215" t="str">
        <f>"ERBB receptor feedback inhibitor 1"</f>
        <v>ERBB receptor feedback inhibitor 1</v>
      </c>
      <c r="J215" t="str">
        <f>"protein coding gene"</f>
        <v>protein coding gene</v>
      </c>
    </row>
    <row r="216" spans="1:10">
      <c r="A216">
        <v>10513141</v>
      </c>
      <c r="B216">
        <v>2.9216022890329501</v>
      </c>
      <c r="C216">
        <v>1.2850342487869499</v>
      </c>
      <c r="E216" t="str">
        <f>"10513141"</f>
        <v>10513141</v>
      </c>
      <c r="F216" t="str">
        <f t="shared" si="12"/>
        <v>Affy 1.0 ST</v>
      </c>
      <c r="G216" t="str">
        <f>"MGI:105307"</f>
        <v>MGI:105307</v>
      </c>
      <c r="H216" t="str">
        <f>"Ptpn3"</f>
        <v>Ptpn3</v>
      </c>
      <c r="I216" t="s">
        <v>1971</v>
      </c>
      <c r="J216" t="s">
        <v>2010</v>
      </c>
    </row>
    <row r="217" spans="1:10">
      <c r="A217">
        <v>10390050</v>
      </c>
      <c r="B217">
        <v>2.9108574053631902</v>
      </c>
      <c r="C217">
        <v>1.49110524892896</v>
      </c>
      <c r="E217" t="str">
        <f>"10390050"</f>
        <v>10390050</v>
      </c>
      <c r="F217" t="str">
        <f t="shared" si="12"/>
        <v>Affy 1.0 ST</v>
      </c>
      <c r="G217" t="str">
        <f>"MGI:3576783"</f>
        <v>MGI:3576783</v>
      </c>
      <c r="H217" t="str">
        <f>"Eme1"</f>
        <v>Eme1</v>
      </c>
      <c r="I217" t="str">
        <f>"essential meiotic endonuclease 1 homolog 1 (S. pombe)"</f>
        <v>essential meiotic endonuclease 1 homolog 1 (S. pombe)</v>
      </c>
      <c r="J217" t="str">
        <f>"protein coding gene"</f>
        <v>protein coding gene</v>
      </c>
    </row>
    <row r="218" spans="1:10">
      <c r="A218">
        <v>10353733</v>
      </c>
      <c r="B218">
        <v>2.8710415387784098</v>
      </c>
      <c r="C218">
        <v>0.91281494332165602</v>
      </c>
      <c r="E218" t="str">
        <f>"10353733"</f>
        <v>10353733</v>
      </c>
      <c r="F218" t="str">
        <f t="shared" si="12"/>
        <v>Affy 1.0 ST</v>
      </c>
      <c r="G218" t="str">
        <f>"MGI:97758"</f>
        <v>MGI:97758</v>
      </c>
      <c r="H218" t="str">
        <f>"Prim2"</f>
        <v>Prim2</v>
      </c>
      <c r="I218" t="s">
        <v>1972</v>
      </c>
      <c r="J218" t="s">
        <v>2010</v>
      </c>
    </row>
    <row r="219" spans="1:10">
      <c r="A219">
        <v>10475362</v>
      </c>
      <c r="B219">
        <v>2.8676077104582798</v>
      </c>
      <c r="C219">
        <v>1.1754082592403601</v>
      </c>
      <c r="E219" t="str">
        <f>"10475362"</f>
        <v>10475362</v>
      </c>
      <c r="F219" t="str">
        <f t="shared" si="12"/>
        <v>Affy 1.0 ST</v>
      </c>
      <c r="G219" t="str">
        <f>"MGI:1926186"</f>
        <v>MGI:1926186</v>
      </c>
      <c r="H219" t="str">
        <f>"Wdr76"</f>
        <v>Wdr76</v>
      </c>
      <c r="I219" t="str">
        <f>"WD repeat domain 76"</f>
        <v>WD repeat domain 76</v>
      </c>
      <c r="J219" t="str">
        <f t="shared" ref="J219:J228" si="13">"protein coding gene"</f>
        <v>protein coding gene</v>
      </c>
    </row>
    <row r="220" spans="1:10">
      <c r="A220">
        <v>10353010</v>
      </c>
      <c r="B220">
        <v>2.8457038543804298</v>
      </c>
      <c r="C220">
        <v>0.76894036704618696</v>
      </c>
      <c r="E220" t="str">
        <f>"10353010"</f>
        <v>10353010</v>
      </c>
      <c r="F220" t="str">
        <f t="shared" si="12"/>
        <v>Affy 1.0 ST</v>
      </c>
      <c r="G220" t="str">
        <f>"MGI:99925"</f>
        <v>MGI:99925</v>
      </c>
      <c r="H220" t="str">
        <f>"Mybl1"</f>
        <v>Mybl1</v>
      </c>
      <c r="I220" t="str">
        <f>"myeloblastosis oncogene-like 1"</f>
        <v>myeloblastosis oncogene-like 1</v>
      </c>
      <c r="J220" t="str">
        <f t="shared" si="13"/>
        <v>protein coding gene</v>
      </c>
    </row>
    <row r="221" spans="1:10">
      <c r="A221">
        <v>10410092</v>
      </c>
      <c r="B221">
        <v>2.8350798773694001</v>
      </c>
      <c r="C221">
        <v>0.546678418056046</v>
      </c>
      <c r="E221" t="str">
        <f>"10410092"</f>
        <v>10410092</v>
      </c>
      <c r="F221" t="str">
        <f t="shared" si="12"/>
        <v>Affy 1.0 ST</v>
      </c>
      <c r="G221" t="str">
        <f>"MGI:2442266"</f>
        <v>MGI:2442266</v>
      </c>
      <c r="H221" t="str">
        <f>"Zfp367"</f>
        <v>Zfp367</v>
      </c>
      <c r="I221" t="str">
        <f>"zinc finger protein 367"</f>
        <v>zinc finger protein 367</v>
      </c>
      <c r="J221" t="str">
        <f t="shared" si="13"/>
        <v>protein coding gene</v>
      </c>
    </row>
    <row r="222" spans="1:10">
      <c r="A222">
        <v>10472782</v>
      </c>
      <c r="B222">
        <v>2.83252480315769</v>
      </c>
      <c r="C222">
        <v>0.91675227316894004</v>
      </c>
      <c r="E222" t="str">
        <f>"10472782"</f>
        <v>10472782</v>
      </c>
      <c r="F222" t="str">
        <f t="shared" si="12"/>
        <v>Affy 1.0 ST</v>
      </c>
      <c r="G222" t="str">
        <f>"MGI:96013"</f>
        <v>MGI:96013</v>
      </c>
      <c r="H222" t="str">
        <f>"Hat1"</f>
        <v>Hat1</v>
      </c>
      <c r="I222" t="str">
        <f>"histone aminotransferase 1"</f>
        <v>histone aminotransferase 1</v>
      </c>
      <c r="J222" t="str">
        <f t="shared" si="13"/>
        <v>protein coding gene</v>
      </c>
    </row>
    <row r="223" spans="1:10">
      <c r="A223">
        <v>10396068</v>
      </c>
      <c r="B223">
        <v>2.8255267050170798</v>
      </c>
      <c r="C223">
        <v>1.3070176520674099</v>
      </c>
      <c r="E223" t="str">
        <f>"10396068"</f>
        <v>10396068</v>
      </c>
      <c r="F223" t="str">
        <f t="shared" si="12"/>
        <v>Affy 1.0 ST</v>
      </c>
      <c r="G223" t="str">
        <f>"MGI:1916956"</f>
        <v>MGI:1916956</v>
      </c>
      <c r="H223" t="str">
        <f>"Ppil5"</f>
        <v>Ppil5</v>
      </c>
      <c r="I223" t="str">
        <f>"peptidylprolyl isomerase (cyclophilin) like 5"</f>
        <v>peptidylprolyl isomerase (cyclophilin) like 5</v>
      </c>
      <c r="J223" t="str">
        <f t="shared" si="13"/>
        <v>protein coding gene</v>
      </c>
    </row>
    <row r="224" spans="1:10">
      <c r="A224">
        <v>10379646</v>
      </c>
      <c r="B224">
        <v>2.8216465703965201</v>
      </c>
      <c r="C224">
        <v>0.925967003979276</v>
      </c>
      <c r="E224" t="str">
        <f>"10379646"</f>
        <v>10379646</v>
      </c>
      <c r="F224" t="str">
        <f t="shared" si="12"/>
        <v>Affy 1.0 ST</v>
      </c>
      <c r="G224" t="str">
        <f>"MGI:1329005"</f>
        <v>MGI:1329005</v>
      </c>
      <c r="H224" t="str">
        <f>"Slfn3"</f>
        <v>Slfn3</v>
      </c>
      <c r="I224" t="str">
        <f>"schlafen 3"</f>
        <v>schlafen 3</v>
      </c>
      <c r="J224" t="str">
        <f t="shared" si="13"/>
        <v>protein coding gene</v>
      </c>
    </row>
    <row r="225" spans="1:10">
      <c r="A225">
        <v>10591773</v>
      </c>
      <c r="B225">
        <v>2.8071178721634098</v>
      </c>
      <c r="C225">
        <v>0.81037420134785798</v>
      </c>
      <c r="E225" t="str">
        <f>"10591773"</f>
        <v>10591773</v>
      </c>
      <c r="F225" t="str">
        <f t="shared" si="12"/>
        <v>Affy 1.0 ST</v>
      </c>
      <c r="G225" t="str">
        <f>"MGI:96136"</f>
        <v>MGI:96136</v>
      </c>
      <c r="H225" t="str">
        <f>"Hmgn2"</f>
        <v>Hmgn2</v>
      </c>
      <c r="I225" t="str">
        <f>"high mobility group nucleosomal binding domain 2"</f>
        <v>high mobility group nucleosomal binding domain 2</v>
      </c>
      <c r="J225" t="str">
        <f t="shared" si="13"/>
        <v>protein coding gene</v>
      </c>
    </row>
    <row r="226" spans="1:10">
      <c r="A226">
        <v>10366277</v>
      </c>
      <c r="B226">
        <v>2.7989665671083301</v>
      </c>
      <c r="C226">
        <v>1.1160174214293901</v>
      </c>
      <c r="E226" t="str">
        <f>"10366277"</f>
        <v>10366277</v>
      </c>
      <c r="F226" t="str">
        <f t="shared" si="12"/>
        <v>Affy 1.0 ST</v>
      </c>
      <c r="G226" t="str">
        <f>"MGI:1289147"</f>
        <v>MGI:1289147</v>
      </c>
      <c r="H226" t="str">
        <f>"E2f7"</f>
        <v>E2f7</v>
      </c>
      <c r="I226" t="str">
        <f>"E2F transcription factor 7"</f>
        <v>E2F transcription factor 7</v>
      </c>
      <c r="J226" t="str">
        <f t="shared" si="13"/>
        <v>protein coding gene</v>
      </c>
    </row>
    <row r="227" spans="1:10">
      <c r="A227">
        <v>10409031</v>
      </c>
      <c r="B227">
        <v>2.7943854426113899</v>
      </c>
      <c r="C227">
        <v>0.79304904162711498</v>
      </c>
      <c r="E227" t="str">
        <f>"10409031"</f>
        <v>10409031</v>
      </c>
      <c r="F227" t="str">
        <f t="shared" si="12"/>
        <v>Affy 1.0 ST</v>
      </c>
      <c r="G227" t="str">
        <f>"MGI:1926209"</f>
        <v>MGI:1926209</v>
      </c>
      <c r="H227" t="str">
        <f>"Dek"</f>
        <v>Dek</v>
      </c>
      <c r="I227" t="str">
        <f>"DEK oncogene (DNA binding)"</f>
        <v>DEK oncogene (DNA binding)</v>
      </c>
      <c r="J227" t="str">
        <f t="shared" si="13"/>
        <v>protein coding gene</v>
      </c>
    </row>
    <row r="228" spans="1:10">
      <c r="A228">
        <v>10453867</v>
      </c>
      <c r="B228">
        <v>2.78789952244649</v>
      </c>
      <c r="C228">
        <v>0.88353651527202504</v>
      </c>
      <c r="E228" t="str">
        <f>"10453867"</f>
        <v>10453867</v>
      </c>
      <c r="F228" t="str">
        <f t="shared" si="12"/>
        <v>Affy 1.0 ST</v>
      </c>
      <c r="G228" t="str">
        <f>"MGI:2442995"</f>
        <v>MGI:2442995</v>
      </c>
      <c r="H228" t="str">
        <f>"Rbbp8"</f>
        <v>Rbbp8</v>
      </c>
      <c r="I228" t="str">
        <f>"retinoblastoma binding protein 8"</f>
        <v>retinoblastoma binding protein 8</v>
      </c>
      <c r="J228" t="str">
        <f t="shared" si="13"/>
        <v>protein coding gene</v>
      </c>
    </row>
    <row r="229" spans="1:10">
      <c r="A229">
        <v>10521757</v>
      </c>
      <c r="B229">
        <v>2.7545249932479301</v>
      </c>
      <c r="C229">
        <v>0.25664570846769102</v>
      </c>
      <c r="E229" t="str">
        <f>"10521757"</f>
        <v>10521757</v>
      </c>
      <c r="F229" t="str">
        <f>""</f>
        <v/>
      </c>
      <c r="G229" t="str">
        <f>"No associated gene"</f>
        <v>No associated gene</v>
      </c>
    </row>
    <row r="230" spans="1:10">
      <c r="A230">
        <v>10564978</v>
      </c>
      <c r="B230">
        <v>2.7503811902553998</v>
      </c>
      <c r="C230">
        <v>0.44987185194326001</v>
      </c>
      <c r="E230" t="str">
        <f>"10564978"</f>
        <v>10564978</v>
      </c>
      <c r="F230" t="str">
        <f>"Affy 1.0 ST"</f>
        <v>Affy 1.0 ST</v>
      </c>
      <c r="G230" t="str">
        <f>"MGI:1328362"</f>
        <v>MGI:1328362</v>
      </c>
      <c r="H230" t="str">
        <f>"Blm"</f>
        <v>Blm</v>
      </c>
      <c r="I230" t="s">
        <v>1973</v>
      </c>
      <c r="J230" t="s">
        <v>2010</v>
      </c>
    </row>
    <row r="231" spans="1:10">
      <c r="A231">
        <v>10513195</v>
      </c>
      <c r="B231">
        <v>2.73900067315041</v>
      </c>
      <c r="C231">
        <v>0.592642038967089</v>
      </c>
      <c r="E231" t="str">
        <f>"10513195"</f>
        <v>10513195</v>
      </c>
      <c r="F231" t="str">
        <f>"Affy 1.0 ST"</f>
        <v>Affy 1.0 ST</v>
      </c>
      <c r="G231" t="str">
        <f>"MGI:98874"</f>
        <v>MGI:98874</v>
      </c>
      <c r="H231" t="str">
        <f>"Txn1"</f>
        <v>Txn1</v>
      </c>
      <c r="I231" t="str">
        <f>"thioredoxin 1"</f>
        <v>thioredoxin 1</v>
      </c>
      <c r="J231" t="str">
        <f>"protein coding gene"</f>
        <v>protein coding gene</v>
      </c>
    </row>
    <row r="232" spans="1:10">
      <c r="A232">
        <v>10407511</v>
      </c>
      <c r="B232">
        <v>2.7262714216602499</v>
      </c>
      <c r="C232">
        <v>0.63859847459532304</v>
      </c>
      <c r="E232" t="str">
        <f>"10407511"</f>
        <v>10407511</v>
      </c>
      <c r="F232" t="str">
        <f>""</f>
        <v/>
      </c>
      <c r="G232" t="str">
        <f>"No associated gene"</f>
        <v>No associated gene</v>
      </c>
    </row>
    <row r="233" spans="1:10">
      <c r="A233">
        <v>10424188</v>
      </c>
      <c r="B233">
        <v>2.6927533323141</v>
      </c>
      <c r="C233">
        <v>0.94712974131004501</v>
      </c>
      <c r="E233" t="str">
        <f>"10424188"</f>
        <v>10424188</v>
      </c>
      <c r="F233" t="str">
        <f t="shared" ref="F233:F252" si="14">"Affy 1.0 ST"</f>
        <v>Affy 1.0 ST</v>
      </c>
      <c r="G233" t="str">
        <f>"MGI:2146005"</f>
        <v>MGI:2146005</v>
      </c>
      <c r="H233" t="str">
        <f>"Mtbp"</f>
        <v>Mtbp</v>
      </c>
      <c r="I233" t="s">
        <v>1974</v>
      </c>
      <c r="J233" t="s">
        <v>2010</v>
      </c>
    </row>
    <row r="234" spans="1:10">
      <c r="A234">
        <v>10409190</v>
      </c>
      <c r="B234">
        <v>2.6275615169386701</v>
      </c>
      <c r="C234">
        <v>1.2349152854243399</v>
      </c>
      <c r="E234" t="str">
        <f>"10409190"</f>
        <v>10409190</v>
      </c>
      <c r="F234" t="str">
        <f t="shared" si="14"/>
        <v>Affy 1.0 ST</v>
      </c>
      <c r="G234" t="str">
        <f>"MGI:1913586"</f>
        <v>MGI:1913586</v>
      </c>
      <c r="H234" t="str">
        <f>"Cenpp"</f>
        <v>Cenpp</v>
      </c>
      <c r="I234" t="str">
        <f>"centromere protein P"</f>
        <v>centromere protein P</v>
      </c>
      <c r="J234" t="str">
        <f>"protein coding gene"</f>
        <v>protein coding gene</v>
      </c>
    </row>
    <row r="235" spans="1:10">
      <c r="A235">
        <v>10393844</v>
      </c>
      <c r="B235">
        <v>2.6128523095747198</v>
      </c>
      <c r="C235">
        <v>0.71151253639883305</v>
      </c>
      <c r="E235" t="str">
        <f>"10393844"</f>
        <v>10393844</v>
      </c>
      <c r="F235" t="str">
        <f t="shared" si="14"/>
        <v>Affy 1.0 ST</v>
      </c>
      <c r="G235" t="str">
        <f>"MGI:1341044"</f>
        <v>MGI:1341044</v>
      </c>
      <c r="H235" t="str">
        <f>"Thoc4"</f>
        <v>Thoc4</v>
      </c>
      <c r="I235" t="str">
        <f>"THO complex 4"</f>
        <v>THO complex 4</v>
      </c>
      <c r="J235" t="str">
        <f>"protein coding gene"</f>
        <v>protein coding gene</v>
      </c>
    </row>
    <row r="236" spans="1:10">
      <c r="A236">
        <v>10352709</v>
      </c>
      <c r="B236">
        <v>2.5745519683043301</v>
      </c>
      <c r="C236">
        <v>0.89042891899583398</v>
      </c>
      <c r="E236" t="str">
        <f>"10352709"</f>
        <v>10352709</v>
      </c>
      <c r="F236" t="str">
        <f t="shared" si="14"/>
        <v>Affy 1.0 ST</v>
      </c>
      <c r="G236" t="str">
        <f>"MGI:2685830"</f>
        <v>MGI:2685830</v>
      </c>
      <c r="H236" t="str">
        <f>"Nsl1"</f>
        <v>Nsl1</v>
      </c>
      <c r="I236" t="s">
        <v>1975</v>
      </c>
      <c r="J236" t="s">
        <v>2010</v>
      </c>
    </row>
    <row r="237" spans="1:10">
      <c r="A237">
        <v>10564565</v>
      </c>
      <c r="B237">
        <v>2.5664306974057798</v>
      </c>
      <c r="C237">
        <v>0.54911867341803899</v>
      </c>
      <c r="E237" t="str">
        <f>"10564565"</f>
        <v>10564565</v>
      </c>
      <c r="F237" t="str">
        <f t="shared" si="14"/>
        <v>Affy 1.0 ST</v>
      </c>
      <c r="G237" t="str">
        <f>"MGI:3649138"</f>
        <v>MGI:3649138</v>
      </c>
      <c r="H237" t="str">
        <f>"Gm7693"</f>
        <v>Gm7693</v>
      </c>
      <c r="I237" t="str">
        <f>"predicted gene 7693"</f>
        <v>predicted gene 7693</v>
      </c>
      <c r="J237" t="str">
        <f>"pseudogene"</f>
        <v>pseudogene</v>
      </c>
    </row>
    <row r="238" spans="1:10">
      <c r="A238">
        <v>10368199</v>
      </c>
      <c r="B238">
        <v>2.5324016691050502</v>
      </c>
      <c r="C238">
        <v>0.47061915764248902</v>
      </c>
      <c r="E238" t="str">
        <f>"10368199"</f>
        <v>10368199</v>
      </c>
      <c r="F238" t="str">
        <f t="shared" si="14"/>
        <v>Affy 1.0 ST</v>
      </c>
      <c r="G238" t="str">
        <f>"MGI:97249"</f>
        <v>MGI:97249</v>
      </c>
      <c r="H238" t="str">
        <f>"Myb"</f>
        <v>Myb</v>
      </c>
      <c r="I238" t="str">
        <f>"myeloblastosis oncogene"</f>
        <v>myeloblastosis oncogene</v>
      </c>
      <c r="J238" t="str">
        <f t="shared" ref="J238:J244" si="15">"protein coding gene"</f>
        <v>protein coding gene</v>
      </c>
    </row>
    <row r="239" spans="1:10">
      <c r="A239">
        <v>10473414</v>
      </c>
      <c r="B239">
        <v>2.5283928726618199</v>
      </c>
      <c r="C239">
        <v>0.279415850665645</v>
      </c>
      <c r="E239" t="str">
        <f>"10473414"</f>
        <v>10473414</v>
      </c>
      <c r="F239" t="str">
        <f t="shared" si="14"/>
        <v>Affy 1.0 ST</v>
      </c>
      <c r="G239" t="str">
        <f>"MGI:107912"</f>
        <v>MGI:107912</v>
      </c>
      <c r="H239" t="str">
        <f>"Ssrp1"</f>
        <v>Ssrp1</v>
      </c>
      <c r="I239" t="str">
        <f>"structure specific recognition protein 1"</f>
        <v>structure specific recognition protein 1</v>
      </c>
      <c r="J239" t="str">
        <f t="shared" si="15"/>
        <v>protein coding gene</v>
      </c>
    </row>
    <row r="240" spans="1:10">
      <c r="A240">
        <v>10585586</v>
      </c>
      <c r="B240">
        <v>2.5106048948749198</v>
      </c>
      <c r="C240">
        <v>0.70294234148714696</v>
      </c>
      <c r="E240" t="str">
        <f>"10585586"</f>
        <v>10585586</v>
      </c>
      <c r="F240" t="str">
        <f t="shared" si="14"/>
        <v>Affy 1.0 ST</v>
      </c>
      <c r="G240" t="str">
        <f>"MGI:1925141"</f>
        <v>MGI:1925141</v>
      </c>
      <c r="H240" t="str">
        <f>"Ube2s"</f>
        <v>Ube2s</v>
      </c>
      <c r="I240" t="str">
        <f>"ubiquitin-conjugating enzyme E2S"</f>
        <v>ubiquitin-conjugating enzyme E2S</v>
      </c>
      <c r="J240" t="str">
        <f t="shared" si="15"/>
        <v>protein coding gene</v>
      </c>
    </row>
    <row r="241" spans="1:10">
      <c r="A241">
        <v>10389627</v>
      </c>
      <c r="B241">
        <v>2.4999339463880799</v>
      </c>
      <c r="C241">
        <v>0.89295530593963202</v>
      </c>
      <c r="E241" t="str">
        <f>"10389627"</f>
        <v>10389627</v>
      </c>
      <c r="F241" t="str">
        <f t="shared" si="14"/>
        <v>Affy 1.0 ST</v>
      </c>
      <c r="G241" t="str">
        <f>"MGI:2150020"</f>
        <v>MGI:2150020</v>
      </c>
      <c r="H241" t="str">
        <f>"Rad51c"</f>
        <v>Rad51c</v>
      </c>
      <c r="I241" t="str">
        <f>"RAD51 homolog c (S. cerevisiae)"</f>
        <v>RAD51 homolog c (S. cerevisiae)</v>
      </c>
      <c r="J241" t="str">
        <f t="shared" si="15"/>
        <v>protein coding gene</v>
      </c>
    </row>
    <row r="242" spans="1:10">
      <c r="A242">
        <v>10513181</v>
      </c>
      <c r="B242">
        <v>2.4993988869937001</v>
      </c>
      <c r="C242">
        <v>0.60357545555845304</v>
      </c>
      <c r="E242" t="str">
        <f>"10513181"</f>
        <v>10513181</v>
      </c>
      <c r="F242" t="str">
        <f t="shared" si="14"/>
        <v>Affy 1.0 ST</v>
      </c>
      <c r="G242" t="str">
        <f>"MGI:95640"</f>
        <v>MGI:95640</v>
      </c>
      <c r="H242" t="str">
        <f>"Gapdh"</f>
        <v>Gapdh</v>
      </c>
      <c r="I242" t="str">
        <f>"glyceraldehyde-3-phosphate dehydrogenase"</f>
        <v>glyceraldehyde-3-phosphate dehydrogenase</v>
      </c>
      <c r="J242" t="str">
        <f t="shared" si="15"/>
        <v>protein coding gene</v>
      </c>
    </row>
    <row r="243" spans="1:10">
      <c r="A243">
        <v>10374400</v>
      </c>
      <c r="B243">
        <v>2.4814629798360901</v>
      </c>
      <c r="C243">
        <v>0.730455034116262</v>
      </c>
      <c r="E243" t="str">
        <f>"10374400"</f>
        <v>10374400</v>
      </c>
      <c r="F243" t="str">
        <f t="shared" si="14"/>
        <v>Affy 1.0 ST</v>
      </c>
      <c r="G243" t="str">
        <f>"MGI:2442569"</f>
        <v>MGI:2442569</v>
      </c>
      <c r="H243" t="str">
        <f>"Fbxo48"</f>
        <v>Fbxo48</v>
      </c>
      <c r="I243" t="str">
        <f>"F-box protein 48"</f>
        <v>F-box protein 48</v>
      </c>
      <c r="J243" t="str">
        <f t="shared" si="15"/>
        <v>protein coding gene</v>
      </c>
    </row>
    <row r="244" spans="1:10">
      <c r="A244">
        <v>10476362</v>
      </c>
      <c r="B244">
        <v>2.4338223075052601</v>
      </c>
      <c r="C244">
        <v>0.83121443942265005</v>
      </c>
      <c r="E244" t="str">
        <f>"10476362"</f>
        <v>10476362</v>
      </c>
      <c r="F244" t="str">
        <f t="shared" si="14"/>
        <v>Affy 1.0 ST</v>
      </c>
      <c r="G244" t="str">
        <f>"MGI:1913884"</f>
        <v>MGI:1913884</v>
      </c>
      <c r="H244" t="str">
        <f>"Mcm8"</f>
        <v>Mcm8</v>
      </c>
      <c r="I244" t="str">
        <f>"minichromosome maintenance deficient 8 (S. cerevisiae)"</f>
        <v>minichromosome maintenance deficient 8 (S. cerevisiae)</v>
      </c>
      <c r="J244" t="str">
        <f t="shared" si="15"/>
        <v>protein coding gene</v>
      </c>
    </row>
    <row r="245" spans="1:10">
      <c r="A245">
        <v>10394770</v>
      </c>
      <c r="B245">
        <v>2.4151605434372798</v>
      </c>
      <c r="C245">
        <v>0.63987071494111603</v>
      </c>
      <c r="E245" t="str">
        <f>"10394770"</f>
        <v>10394770</v>
      </c>
      <c r="F245" t="str">
        <f t="shared" si="14"/>
        <v>Affy 1.0 ST</v>
      </c>
      <c r="G245" t="str">
        <f>"MGI:97402"</f>
        <v>MGI:97402</v>
      </c>
      <c r="H245" t="str">
        <f>"Odc1"</f>
        <v>Odc1</v>
      </c>
      <c r="I245" t="s">
        <v>1976</v>
      </c>
      <c r="J245" t="s">
        <v>2010</v>
      </c>
    </row>
    <row r="246" spans="1:10">
      <c r="A246">
        <v>10394735</v>
      </c>
      <c r="B246">
        <v>2.4030461836386898</v>
      </c>
      <c r="C246">
        <v>0.19508781157382299</v>
      </c>
      <c r="E246" t="str">
        <f>"10394735"</f>
        <v>10394735</v>
      </c>
      <c r="F246" t="str">
        <f t="shared" si="14"/>
        <v>Affy 1.0 ST</v>
      </c>
      <c r="G246" t="str">
        <f>"MGI:1919103"</f>
        <v>MGI:1919103</v>
      </c>
      <c r="H246" t="str">
        <f>"Pdia6"</f>
        <v>Pdia6</v>
      </c>
      <c r="I246" t="str">
        <f>"protein disulfide isomerase associated 6"</f>
        <v>protein disulfide isomerase associated 6</v>
      </c>
      <c r="J246" t="str">
        <f>"protein coding gene"</f>
        <v>protein coding gene</v>
      </c>
    </row>
    <row r="247" spans="1:10">
      <c r="A247">
        <v>10513145</v>
      </c>
      <c r="B247">
        <v>2.3810850415438201</v>
      </c>
      <c r="C247">
        <v>0.79891400921530897</v>
      </c>
      <c r="E247" t="str">
        <f>"10513145"</f>
        <v>10513145</v>
      </c>
      <c r="F247" t="str">
        <f t="shared" si="14"/>
        <v>Affy 1.0 ST</v>
      </c>
      <c r="G247" t="str">
        <f>"MGI:105307"</f>
        <v>MGI:105307</v>
      </c>
      <c r="H247" t="str">
        <f>"Ptpn3"</f>
        <v>Ptpn3</v>
      </c>
      <c r="I247" t="s">
        <v>1971</v>
      </c>
      <c r="J247" t="s">
        <v>2010</v>
      </c>
    </row>
    <row r="248" spans="1:10">
      <c r="A248">
        <v>10349100</v>
      </c>
      <c r="B248">
        <v>2.37467769123647</v>
      </c>
      <c r="C248">
        <v>0.237520532310078</v>
      </c>
      <c r="E248" t="str">
        <f>"10349100"</f>
        <v>10349100</v>
      </c>
      <c r="F248" t="str">
        <f t="shared" si="14"/>
        <v>Affy 1.0 ST</v>
      </c>
      <c r="G248" t="str">
        <f>"MGI:3647491"</f>
        <v>MGI:3647491</v>
      </c>
      <c r="H248" t="str">
        <f>"Gm6651"</f>
        <v>Gm6651</v>
      </c>
      <c r="I248" t="str">
        <f>"predicted gene 6651"</f>
        <v>predicted gene 6651</v>
      </c>
      <c r="J248" t="str">
        <f>"pseudogene"</f>
        <v>pseudogene</v>
      </c>
    </row>
    <row r="249" spans="1:10">
      <c r="A249">
        <v>10408212</v>
      </c>
      <c r="B249">
        <v>2.34106435660249</v>
      </c>
      <c r="C249">
        <v>0.73958626889045098</v>
      </c>
      <c r="E249" t="str">
        <f>"10408212"</f>
        <v>10408212</v>
      </c>
      <c r="F249" t="str">
        <f t="shared" si="14"/>
        <v>Affy 1.0 ST</v>
      </c>
      <c r="G249" t="str">
        <f>"MGI:1931527"</f>
        <v>MGI:1931527</v>
      </c>
      <c r="H249" t="str">
        <f>"Hist1h1e"</f>
        <v>Hist1h1e</v>
      </c>
      <c r="I249" t="s">
        <v>1977</v>
      </c>
      <c r="J249" t="s">
        <v>2010</v>
      </c>
    </row>
    <row r="250" spans="1:10">
      <c r="A250">
        <v>10359648</v>
      </c>
      <c r="B250">
        <v>2.3349743424770999</v>
      </c>
      <c r="C250">
        <v>0.66839742316057604</v>
      </c>
      <c r="E250" t="str">
        <f>"10359648"</f>
        <v>10359648</v>
      </c>
      <c r="F250" t="str">
        <f t="shared" si="14"/>
        <v>Affy 1.0 ST</v>
      </c>
      <c r="G250" t="str">
        <f>"MGI:3590554"</f>
        <v>MGI:3590554</v>
      </c>
      <c r="H250" t="str">
        <f>"BC055324"</f>
        <v>BC055324</v>
      </c>
      <c r="I250" t="str">
        <f>"cDNA sequence BC055324"</f>
        <v>cDNA sequence BC055324</v>
      </c>
      <c r="J250" t="str">
        <f>"protein coding gene"</f>
        <v>protein coding gene</v>
      </c>
    </row>
    <row r="251" spans="1:10">
      <c r="A251">
        <v>10371482</v>
      </c>
      <c r="B251">
        <v>2.3323870724713398</v>
      </c>
      <c r="C251">
        <v>0.53470605513997405</v>
      </c>
      <c r="E251" t="str">
        <f>"10371482"</f>
        <v>10371482</v>
      </c>
      <c r="F251" t="str">
        <f t="shared" si="14"/>
        <v>Affy 1.0 ST</v>
      </c>
      <c r="G251" t="str">
        <f>"MGI:98817"</f>
        <v>MGI:98817</v>
      </c>
      <c r="H251" t="str">
        <f>"Hsp90b1"</f>
        <v>Hsp90b1</v>
      </c>
      <c r="I251" t="s">
        <v>1978</v>
      </c>
      <c r="J251" t="s">
        <v>2010</v>
      </c>
    </row>
    <row r="252" spans="1:10">
      <c r="A252">
        <v>10570373</v>
      </c>
      <c r="B252">
        <v>2.3257395554245499</v>
      </c>
      <c r="C252">
        <v>0.72245124839500596</v>
      </c>
      <c r="E252" t="str">
        <f>"10570373"</f>
        <v>10570373</v>
      </c>
      <c r="F252" t="str">
        <f t="shared" si="14"/>
        <v>Affy 1.0 ST</v>
      </c>
      <c r="G252" t="str">
        <f>"MGI:101934"</f>
        <v>MGI:101934</v>
      </c>
      <c r="H252" t="str">
        <f>"Tfdp1"</f>
        <v>Tfdp1</v>
      </c>
      <c r="I252" t="str">
        <f>"transcription factor Dp 1"</f>
        <v>transcription factor Dp 1</v>
      </c>
      <c r="J252" t="str">
        <f>"protein coding gene"</f>
        <v>protein coding gene</v>
      </c>
    </row>
    <row r="253" spans="1:10">
      <c r="A253">
        <v>10341921</v>
      </c>
      <c r="B253">
        <v>2.300181636724</v>
      </c>
      <c r="C253">
        <v>0.62343667841425099</v>
      </c>
      <c r="E253" t="str">
        <f>"10341921"</f>
        <v>10341921</v>
      </c>
      <c r="F253" t="str">
        <f>""</f>
        <v/>
      </c>
      <c r="G253" t="str">
        <f>"No associated gene"</f>
        <v>No associated gene</v>
      </c>
    </row>
    <row r="254" spans="1:10">
      <c r="A254">
        <v>10417601</v>
      </c>
      <c r="B254">
        <v>2.2989307346568801</v>
      </c>
      <c r="C254">
        <v>0.196168772624013</v>
      </c>
      <c r="E254" t="str">
        <f>"10417601"</f>
        <v>10417601</v>
      </c>
      <c r="F254" t="str">
        <f t="shared" ref="F254:F263" si="16">"Affy 1.0 ST"</f>
        <v>Affy 1.0 ST</v>
      </c>
      <c r="G254" t="str">
        <f>"MGI:97803"</f>
        <v>MGI:97803</v>
      </c>
      <c r="H254" t="str">
        <f>"Ptma"</f>
        <v>Ptma</v>
      </c>
      <c r="I254" t="str">
        <f>"prothymosin alpha"</f>
        <v>prothymosin alpha</v>
      </c>
      <c r="J254" t="str">
        <f>"protein coding gene"</f>
        <v>protein coding gene</v>
      </c>
    </row>
    <row r="255" spans="1:10">
      <c r="A255">
        <v>10450374</v>
      </c>
      <c r="B255">
        <v>2.2909833622910898</v>
      </c>
      <c r="C255">
        <v>0.117541794626372</v>
      </c>
      <c r="E255" t="str">
        <f>"10450374"</f>
        <v>10450374</v>
      </c>
      <c r="F255" t="str">
        <f t="shared" si="16"/>
        <v>Affy 1.0 ST</v>
      </c>
      <c r="G255" t="str">
        <f>"MGI:1306799"</f>
        <v>MGI:1306799</v>
      </c>
      <c r="H255" t="str">
        <f>"D17H6S56E-5"</f>
        <v>D17H6S56E-5</v>
      </c>
      <c r="I255" t="s">
        <v>2059</v>
      </c>
      <c r="J255" t="s">
        <v>2060</v>
      </c>
    </row>
    <row r="256" spans="1:10">
      <c r="A256">
        <v>10465553</v>
      </c>
      <c r="B256">
        <v>2.2877927979366799</v>
      </c>
      <c r="C256">
        <v>0.19715794927154001</v>
      </c>
      <c r="E256" t="str">
        <f>"10465553"</f>
        <v>10465553</v>
      </c>
      <c r="F256" t="str">
        <f t="shared" si="16"/>
        <v>Affy 1.0 ST</v>
      </c>
      <c r="G256" t="str">
        <f>"MGI:95542"</f>
        <v>MGI:95542</v>
      </c>
      <c r="H256" t="str">
        <f>"Fkbp2"</f>
        <v>Fkbp2</v>
      </c>
      <c r="I256" t="str">
        <f>"FK506 binding protein 2"</f>
        <v>FK506 binding protein 2</v>
      </c>
      <c r="J256" t="str">
        <f>"protein coding gene"</f>
        <v>protein coding gene</v>
      </c>
    </row>
    <row r="257" spans="1:10">
      <c r="A257">
        <v>10582501</v>
      </c>
      <c r="B257">
        <v>2.2803702531357</v>
      </c>
      <c r="C257">
        <v>0.88485890403916101</v>
      </c>
      <c r="E257" t="str">
        <f>"10582501"</f>
        <v>10582501</v>
      </c>
      <c r="F257" t="str">
        <f t="shared" si="16"/>
        <v>Affy 1.0 ST</v>
      </c>
      <c r="G257" t="str">
        <f>"MGI:1341823"</f>
        <v>MGI:1341823</v>
      </c>
      <c r="H257" t="str">
        <f>"Fanca"</f>
        <v>Fanca</v>
      </c>
      <c r="I257" t="s">
        <v>2061</v>
      </c>
      <c r="J257" t="s">
        <v>2010</v>
      </c>
    </row>
    <row r="258" spans="1:10">
      <c r="A258">
        <v>10405741</v>
      </c>
      <c r="B258">
        <v>2.2787781007566799</v>
      </c>
      <c r="C258">
        <v>0.50801707944244301</v>
      </c>
      <c r="E258" t="str">
        <f>"10405741"</f>
        <v>10405741</v>
      </c>
      <c r="F258" t="str">
        <f t="shared" si="16"/>
        <v>Affy 1.0 ST</v>
      </c>
      <c r="G258" t="str">
        <f>"MGI:3781516"</f>
        <v>MGI:3781516</v>
      </c>
      <c r="H258" t="str">
        <f>"Gm3338"</f>
        <v>Gm3338</v>
      </c>
      <c r="I258" t="str">
        <f>"predicted gene 3338"</f>
        <v>predicted gene 3338</v>
      </c>
      <c r="J258" t="str">
        <f>"pseudogene"</f>
        <v>pseudogene</v>
      </c>
    </row>
    <row r="259" spans="1:10">
      <c r="A259">
        <v>10518561</v>
      </c>
      <c r="B259">
        <v>2.2673007962804199</v>
      </c>
      <c r="C259">
        <v>0.652219311813241</v>
      </c>
      <c r="E259" t="str">
        <f>"10518561"</f>
        <v>10518561</v>
      </c>
      <c r="F259" t="str">
        <f t="shared" si="16"/>
        <v>Affy 1.0 ST</v>
      </c>
      <c r="G259" t="str">
        <f>"MGI:1917178"</f>
        <v>MGI:1917178</v>
      </c>
      <c r="H259" t="str">
        <f>"Apitd1"</f>
        <v>Apitd1</v>
      </c>
      <c r="I259" t="s">
        <v>2181</v>
      </c>
      <c r="J259" t="s">
        <v>2010</v>
      </c>
    </row>
    <row r="260" spans="1:10">
      <c r="A260">
        <v>10578683</v>
      </c>
      <c r="B260">
        <v>2.26114292649395</v>
      </c>
      <c r="C260">
        <v>0.42008366589345097</v>
      </c>
      <c r="E260" t="str">
        <f>"10578683"</f>
        <v>10578683</v>
      </c>
      <c r="F260" t="str">
        <f t="shared" si="16"/>
        <v>Affy 1.0 ST</v>
      </c>
      <c r="G260" t="str">
        <f>"MGI:1914454"</f>
        <v>MGI:1914454</v>
      </c>
      <c r="H260" t="str">
        <f>"Eif2s2"</f>
        <v>Eif2s2</v>
      </c>
      <c r="I260" t="s">
        <v>2062</v>
      </c>
      <c r="J260" t="s">
        <v>2010</v>
      </c>
    </row>
    <row r="261" spans="1:10">
      <c r="A261">
        <v>10588294</v>
      </c>
      <c r="B261">
        <v>2.25752735142227</v>
      </c>
      <c r="C261">
        <v>0.68932184516291295</v>
      </c>
      <c r="E261" t="str">
        <f>"10588294"</f>
        <v>10588294</v>
      </c>
      <c r="F261" t="str">
        <f t="shared" si="16"/>
        <v>Affy 1.0 ST</v>
      </c>
      <c r="G261" t="str">
        <f>"MGI:1920018"</f>
        <v>MGI:1920018</v>
      </c>
      <c r="H261" t="str">
        <f>"Topbp1"</f>
        <v>Topbp1</v>
      </c>
      <c r="I261" t="str">
        <f>"topoisomerase (DNA) II binding protein 1"</f>
        <v>topoisomerase (DNA) II binding protein 1</v>
      </c>
      <c r="J261" t="str">
        <f>"protein coding gene"</f>
        <v>protein coding gene</v>
      </c>
    </row>
    <row r="262" spans="1:10">
      <c r="A262">
        <v>10490946</v>
      </c>
      <c r="B262">
        <v>2.2493933123015801</v>
      </c>
      <c r="C262">
        <v>0.60465797808950394</v>
      </c>
      <c r="E262" t="str">
        <f>"10490946"</f>
        <v>10490946</v>
      </c>
      <c r="F262" t="str">
        <f t="shared" si="16"/>
        <v>Affy 1.0 ST</v>
      </c>
      <c r="G262" t="str">
        <f>"MGI:96250"</f>
        <v>MGI:96250</v>
      </c>
      <c r="H262" t="str">
        <f>"Hsp90aa1"</f>
        <v>Hsp90aa1</v>
      </c>
      <c r="I262" t="s">
        <v>1970</v>
      </c>
      <c r="J262" t="s">
        <v>2010</v>
      </c>
    </row>
    <row r="263" spans="1:10">
      <c r="A263">
        <v>10372687</v>
      </c>
      <c r="B263">
        <v>2.2433362307658902</v>
      </c>
      <c r="C263">
        <v>0.54199363308030502</v>
      </c>
      <c r="E263" t="str">
        <f>"10372687"</f>
        <v>10372687</v>
      </c>
      <c r="F263" t="str">
        <f t="shared" si="16"/>
        <v>Affy 1.0 ST</v>
      </c>
      <c r="G263" t="str">
        <f>"MGI:2143854"</f>
        <v>MGI:2143854</v>
      </c>
      <c r="H263" t="str">
        <f>"Nup107"</f>
        <v>Nup107</v>
      </c>
      <c r="I263" t="str">
        <f>"nucleoporin 107"</f>
        <v>nucleoporin 107</v>
      </c>
      <c r="J263" t="str">
        <f>"protein coding gene"</f>
        <v>protein coding gene</v>
      </c>
    </row>
    <row r="264" spans="1:10">
      <c r="A264">
        <v>10342490</v>
      </c>
      <c r="B264">
        <v>2.2327549414791101</v>
      </c>
      <c r="C264">
        <v>0.31349826803548098</v>
      </c>
      <c r="E264" t="str">
        <f>"10342490"</f>
        <v>10342490</v>
      </c>
      <c r="F264" t="str">
        <f>""</f>
        <v/>
      </c>
      <c r="G264" t="str">
        <f>"No associated gene"</f>
        <v>No associated gene</v>
      </c>
    </row>
    <row r="265" spans="1:10">
      <c r="A265">
        <v>10472058</v>
      </c>
      <c r="B265">
        <v>2.2274921768393598</v>
      </c>
      <c r="C265">
        <v>0.65479326105472002</v>
      </c>
      <c r="E265" t="str">
        <f>"10472058"</f>
        <v>10472058</v>
      </c>
      <c r="F265" t="str">
        <f>"Affy 1.0 ST"</f>
        <v>Affy 1.0 ST</v>
      </c>
      <c r="G265" t="str">
        <f>"MGI:1098622"</f>
        <v>MGI:1098622</v>
      </c>
      <c r="H265" t="str">
        <f>"Rif1"</f>
        <v>Rif1</v>
      </c>
      <c r="I265" t="str">
        <f>"Rap1 interacting factor 1 homolog (yeast)"</f>
        <v>Rap1 interacting factor 1 homolog (yeast)</v>
      </c>
      <c r="J265" t="str">
        <f>"protein coding gene"</f>
        <v>protein coding gene</v>
      </c>
    </row>
    <row r="266" spans="1:10">
      <c r="A266">
        <v>10565862</v>
      </c>
      <c r="B266">
        <v>2.2242653204649199</v>
      </c>
      <c r="C266">
        <v>0.30294813937125198</v>
      </c>
      <c r="E266" t="str">
        <f>"10565862"</f>
        <v>10565862</v>
      </c>
      <c r="F266" t="str">
        <f>"Affy 1.0 ST"</f>
        <v>Affy 1.0 ST</v>
      </c>
      <c r="G266" t="str">
        <f>"MGI:1915217"</f>
        <v>MGI:1915217</v>
      </c>
      <c r="H266" t="str">
        <f>"Pold3"</f>
        <v>Pold3</v>
      </c>
      <c r="I266" t="s">
        <v>2063</v>
      </c>
      <c r="J266" t="s">
        <v>2010</v>
      </c>
    </row>
    <row r="267" spans="1:10">
      <c r="A267">
        <v>10584712</v>
      </c>
      <c r="B267">
        <v>2.1763282718988499</v>
      </c>
      <c r="C267">
        <v>0.52192229736707096</v>
      </c>
      <c r="E267" t="str">
        <f>"10584712"</f>
        <v>10584712</v>
      </c>
      <c r="F267" t="str">
        <f>"Affy 1.0 ST"</f>
        <v>Affy 1.0 ST</v>
      </c>
      <c r="G267" t="str">
        <f>"MGI:108030"</f>
        <v>MGI:108030</v>
      </c>
      <c r="H267" t="str">
        <f>"Hyou1"</f>
        <v>Hyou1</v>
      </c>
      <c r="I267" t="str">
        <f>"hypoxia up-regulated 1"</f>
        <v>hypoxia up-regulated 1</v>
      </c>
      <c r="J267" t="str">
        <f>"protein coding gene"</f>
        <v>protein coding gene</v>
      </c>
    </row>
    <row r="268" spans="1:10">
      <c r="A268">
        <v>10345791</v>
      </c>
      <c r="B268">
        <v>2.16789753264263</v>
      </c>
      <c r="C268">
        <v>0.35940260470150298</v>
      </c>
      <c r="E268" t="str">
        <f>"10345791"</f>
        <v>10345791</v>
      </c>
      <c r="F268" t="str">
        <f>"Affy 1.0 ST"</f>
        <v>Affy 1.0 ST</v>
      </c>
      <c r="G268" t="str">
        <f>"MGI:98427"</f>
        <v>MGI:98427</v>
      </c>
      <c r="H268" t="str">
        <f>"Il1rl1"</f>
        <v>Il1rl1</v>
      </c>
      <c r="I268" t="str">
        <f>"interleukin 1 receptor-like 1"</f>
        <v>interleukin 1 receptor-like 1</v>
      </c>
      <c r="J268" t="str">
        <f>"protein coding gene"</f>
        <v>protein coding gene</v>
      </c>
    </row>
    <row r="269" spans="1:10">
      <c r="A269">
        <v>10343572</v>
      </c>
      <c r="B269">
        <v>2.1645928721938499</v>
      </c>
      <c r="C269">
        <v>0.117526214805002</v>
      </c>
      <c r="E269" t="str">
        <f>"10343572"</f>
        <v>10343572</v>
      </c>
      <c r="F269" t="str">
        <f>""</f>
        <v/>
      </c>
      <c r="G269" t="str">
        <f>"No associated gene"</f>
        <v>No associated gene</v>
      </c>
    </row>
    <row r="270" spans="1:10">
      <c r="A270">
        <v>10447799</v>
      </c>
      <c r="B270">
        <v>2.155648374554</v>
      </c>
      <c r="C270">
        <v>0.37174503984670798</v>
      </c>
      <c r="E270" t="str">
        <f>"10447799"</f>
        <v>10447799</v>
      </c>
      <c r="F270" t="str">
        <f t="shared" ref="F270:F276" si="17">"Affy 1.0 ST"</f>
        <v>Affy 1.0 ST</v>
      </c>
      <c r="G270" t="str">
        <f>"MGI:96435"</f>
        <v>MGI:96435</v>
      </c>
      <c r="H270" t="str">
        <f>"Igf2r"</f>
        <v>Igf2r</v>
      </c>
      <c r="I270" t="str">
        <f>"insulin-like growth factor 2 receptor"</f>
        <v>insulin-like growth factor 2 receptor</v>
      </c>
      <c r="J270" t="str">
        <f>"protein coding gene"</f>
        <v>protein coding gene</v>
      </c>
    </row>
    <row r="271" spans="1:10">
      <c r="A271">
        <v>10538253</v>
      </c>
      <c r="B271">
        <v>2.1303803790719802</v>
      </c>
      <c r="C271">
        <v>0.39144057857984799</v>
      </c>
      <c r="E271" t="str">
        <f>"10538253"</f>
        <v>10538253</v>
      </c>
      <c r="F271" t="str">
        <f t="shared" si="17"/>
        <v>Affy 1.0 ST</v>
      </c>
      <c r="G271" t="str">
        <f>"MGI:1927340"</f>
        <v>MGI:1927340</v>
      </c>
      <c r="H271" t="str">
        <f>"Mpp6"</f>
        <v>Mpp6</v>
      </c>
      <c r="I271" t="s">
        <v>1985</v>
      </c>
      <c r="J271" t="s">
        <v>2010</v>
      </c>
    </row>
    <row r="272" spans="1:10">
      <c r="A272">
        <v>10585706</v>
      </c>
      <c r="B272">
        <v>2.1266163428929001</v>
      </c>
      <c r="C272">
        <v>0.41526923660681703</v>
      </c>
      <c r="E272" t="str">
        <f>"10585706"</f>
        <v>10585706</v>
      </c>
      <c r="F272" t="str">
        <f t="shared" si="17"/>
        <v>Affy 1.0 ST</v>
      </c>
      <c r="G272" t="str">
        <f>"MGI:88474"</f>
        <v>MGI:88474</v>
      </c>
      <c r="H272" t="str">
        <f>"Cox5a"</f>
        <v>Cox5a</v>
      </c>
      <c r="I272" t="s">
        <v>1986</v>
      </c>
      <c r="J272" t="s">
        <v>2010</v>
      </c>
    </row>
    <row r="273" spans="1:10">
      <c r="A273">
        <v>10352756</v>
      </c>
      <c r="B273">
        <v>2.1243965417367199</v>
      </c>
      <c r="C273">
        <v>0.46559453272114998</v>
      </c>
      <c r="E273" t="str">
        <f>"10352756"</f>
        <v>10352756</v>
      </c>
      <c r="F273" t="str">
        <f t="shared" si="17"/>
        <v>Affy 1.0 ST</v>
      </c>
      <c r="G273" t="str">
        <f>"MGI:2446186"</f>
        <v>MGI:2446186</v>
      </c>
      <c r="H273" t="str">
        <f>"Lpgat1"</f>
        <v>Lpgat1</v>
      </c>
      <c r="I273" t="str">
        <f>"lysophosphatidylglycerol acyltransferase 1"</f>
        <v>lysophosphatidylglycerol acyltransferase 1</v>
      </c>
      <c r="J273" t="str">
        <f>"protein coding gene"</f>
        <v>protein coding gene</v>
      </c>
    </row>
    <row r="274" spans="1:10">
      <c r="A274">
        <v>10426098</v>
      </c>
      <c r="B274">
        <v>2.1188554225910798</v>
      </c>
      <c r="C274">
        <v>0.32918450380896602</v>
      </c>
      <c r="E274" t="str">
        <f>"10426098"</f>
        <v>10426098</v>
      </c>
      <c r="F274" t="str">
        <f t="shared" si="17"/>
        <v>Affy 1.0 ST</v>
      </c>
      <c r="G274" t="str">
        <f>"MGI:1923987"</f>
        <v>MGI:1923987</v>
      </c>
      <c r="H274" t="str">
        <f>"Creld2"</f>
        <v>Creld2</v>
      </c>
      <c r="I274" t="str">
        <f>"cysteine-rich with EGF-like domains 2"</f>
        <v>cysteine-rich with EGF-like domains 2</v>
      </c>
      <c r="J274" t="str">
        <f>"protein coding gene"</f>
        <v>protein coding gene</v>
      </c>
    </row>
    <row r="275" spans="1:10">
      <c r="A275">
        <v>10480121</v>
      </c>
      <c r="B275">
        <v>2.1145340272300799</v>
      </c>
      <c r="C275">
        <v>0.43129983378114101</v>
      </c>
      <c r="E275" t="str">
        <f>"10480121"</f>
        <v>10480121</v>
      </c>
      <c r="F275" t="str">
        <f t="shared" si="17"/>
        <v>Affy 1.0 ST</v>
      </c>
      <c r="G275" t="str">
        <f>"MGI:1914210"</f>
        <v>MGI:1914210</v>
      </c>
      <c r="H275" t="str">
        <f>"Fam188a"</f>
        <v>Fam188a</v>
      </c>
      <c r="I275" t="s">
        <v>1987</v>
      </c>
      <c r="J275" t="s">
        <v>2010</v>
      </c>
    </row>
    <row r="276" spans="1:10">
      <c r="A276">
        <v>10453825</v>
      </c>
      <c r="B276">
        <v>2.1127727448744</v>
      </c>
      <c r="C276">
        <v>0.207468659524882</v>
      </c>
      <c r="E276" t="str">
        <f>"10453825"</f>
        <v>10453825</v>
      </c>
      <c r="F276" t="str">
        <f t="shared" si="17"/>
        <v>Affy 1.0 ST</v>
      </c>
      <c r="G276" t="str">
        <f>"MGI:98344"</f>
        <v>MGI:98344</v>
      </c>
      <c r="H276" t="str">
        <f>"Snrpd1"</f>
        <v>Snrpd1</v>
      </c>
      <c r="I276" t="str">
        <f>"small nuclear ribonucleoprotein D1"</f>
        <v>small nuclear ribonucleoprotein D1</v>
      </c>
      <c r="J276" t="str">
        <f>"protein coding gene"</f>
        <v>protein coding gene</v>
      </c>
    </row>
    <row r="277" spans="1:10">
      <c r="A277">
        <v>10340370</v>
      </c>
      <c r="B277">
        <v>2.11038033696093</v>
      </c>
      <c r="C277">
        <v>0.238360818746364</v>
      </c>
      <c r="E277" t="str">
        <f>"10340370"</f>
        <v>10340370</v>
      </c>
      <c r="F277" t="str">
        <f>""</f>
        <v/>
      </c>
      <c r="G277" t="str">
        <f>"No associated gene"</f>
        <v>No associated gene</v>
      </c>
    </row>
    <row r="278" spans="1:10">
      <c r="A278">
        <v>10573451</v>
      </c>
      <c r="B278">
        <v>2.1088523920423401</v>
      </c>
      <c r="C278">
        <v>0.22643836213878701</v>
      </c>
      <c r="E278" t="str">
        <f>"10573451"</f>
        <v>10573451</v>
      </c>
      <c r="F278" t="str">
        <f t="shared" ref="F278:F284" si="18">"Affy 1.0 ST"</f>
        <v>Affy 1.0 ST</v>
      </c>
      <c r="G278" t="str">
        <f>"MGI:1919096"</f>
        <v>MGI:1919096</v>
      </c>
      <c r="H278" t="str">
        <f>"Syce2"</f>
        <v>Syce2</v>
      </c>
      <c r="I278" t="str">
        <f>"synaptonemal complex central element protein 2"</f>
        <v>synaptonemal complex central element protein 2</v>
      </c>
      <c r="J278" t="str">
        <f t="shared" ref="J278:J283" si="19">"protein coding gene"</f>
        <v>protein coding gene</v>
      </c>
    </row>
    <row r="279" spans="1:10">
      <c r="A279">
        <v>10499366</v>
      </c>
      <c r="B279">
        <v>2.1066990726641701</v>
      </c>
      <c r="C279">
        <v>0.46679053811741</v>
      </c>
      <c r="E279" t="str">
        <f>"10499366"</f>
        <v>10499366</v>
      </c>
      <c r="F279" t="str">
        <f t="shared" si="18"/>
        <v>Affy 1.0 ST</v>
      </c>
      <c r="G279" t="str">
        <f>"MGI:1914287"</f>
        <v>MGI:1914287</v>
      </c>
      <c r="H279" t="str">
        <f>"Pmf1"</f>
        <v>Pmf1</v>
      </c>
      <c r="I279" t="str">
        <f>"polyamine-modulated factor 1"</f>
        <v>polyamine-modulated factor 1</v>
      </c>
      <c r="J279" t="str">
        <f t="shared" si="19"/>
        <v>protein coding gene</v>
      </c>
    </row>
    <row r="280" spans="1:10">
      <c r="A280">
        <v>10416793</v>
      </c>
      <c r="B280">
        <v>2.0863776721098901</v>
      </c>
      <c r="C280">
        <v>0.48995066829478501</v>
      </c>
      <c r="E280" t="str">
        <f>"10416793"</f>
        <v>10416793</v>
      </c>
      <c r="F280" t="str">
        <f t="shared" si="18"/>
        <v>Affy 1.0 ST</v>
      </c>
      <c r="G280" t="str">
        <f>"MGI:1355274"</f>
        <v>MGI:1355274</v>
      </c>
      <c r="H280" t="str">
        <f>"Uchl3"</f>
        <v>Uchl3</v>
      </c>
      <c r="I280" t="str">
        <f>"ubiquitin carboxyl-terminal esterase L3 (ubiquitin thiolesterase)"</f>
        <v>ubiquitin carboxyl-terminal esterase L3 (ubiquitin thiolesterase)</v>
      </c>
      <c r="J280" t="str">
        <f t="shared" si="19"/>
        <v>protein coding gene</v>
      </c>
    </row>
    <row r="281" spans="1:10">
      <c r="A281">
        <v>10521555</v>
      </c>
      <c r="B281">
        <v>2.0814023904171002</v>
      </c>
      <c r="C281">
        <v>0.28256726984345298</v>
      </c>
      <c r="E281" t="str">
        <f>"10521555"</f>
        <v>10521555</v>
      </c>
      <c r="F281" t="str">
        <f t="shared" si="18"/>
        <v>Affy 1.0 ST</v>
      </c>
      <c r="G281" t="str">
        <f>"MGI:107470"</f>
        <v>MGI:107470</v>
      </c>
      <c r="H281" t="str">
        <f>"Lyar"</f>
        <v>Lyar</v>
      </c>
      <c r="I281" t="str">
        <f>"Ly1 antibody reactive clone"</f>
        <v>Ly1 antibody reactive clone</v>
      </c>
      <c r="J281" t="str">
        <f t="shared" si="19"/>
        <v>protein coding gene</v>
      </c>
    </row>
    <row r="282" spans="1:10">
      <c r="A282">
        <v>10580219</v>
      </c>
      <c r="B282">
        <v>2.0768112635920999</v>
      </c>
      <c r="C282">
        <v>0.48727126838109602</v>
      </c>
      <c r="E282" t="str">
        <f>"10580219"</f>
        <v>10580219</v>
      </c>
      <c r="F282" t="str">
        <f t="shared" si="18"/>
        <v>Affy 1.0 ST</v>
      </c>
      <c r="G282" t="str">
        <f>"MGI:88252"</f>
        <v>MGI:88252</v>
      </c>
      <c r="H282" t="str">
        <f>"Calr"</f>
        <v>Calr</v>
      </c>
      <c r="I282" t="str">
        <f>"calreticulin"</f>
        <v>calreticulin</v>
      </c>
      <c r="J282" t="str">
        <f t="shared" si="19"/>
        <v>protein coding gene</v>
      </c>
    </row>
    <row r="283" spans="1:10">
      <c r="A283">
        <v>10489127</v>
      </c>
      <c r="B283">
        <v>2.0715772949169602</v>
      </c>
      <c r="C283">
        <v>8.3963752426271104E-2</v>
      </c>
      <c r="E283" t="str">
        <f>"10489127"</f>
        <v>10489127</v>
      </c>
      <c r="F283" t="str">
        <f t="shared" si="18"/>
        <v>Affy 1.0 ST</v>
      </c>
      <c r="G283" t="str">
        <f>"MGI:103300"</f>
        <v>MGI:103300</v>
      </c>
      <c r="H283" t="str">
        <f>"Rbl1"</f>
        <v>Rbl1</v>
      </c>
      <c r="I283" t="str">
        <f>"retinoblastoma-like 1 (p107)"</f>
        <v>retinoblastoma-like 1 (p107)</v>
      </c>
      <c r="J283" t="str">
        <f t="shared" si="19"/>
        <v>protein coding gene</v>
      </c>
    </row>
    <row r="284" spans="1:10">
      <c r="A284">
        <v>10504730</v>
      </c>
      <c r="B284">
        <v>2.0647070361572002</v>
      </c>
      <c r="C284">
        <v>0.40532106589884298</v>
      </c>
      <c r="E284" t="str">
        <f>"10504730"</f>
        <v>10504730</v>
      </c>
      <c r="F284" t="str">
        <f t="shared" si="18"/>
        <v>Affy 1.0 ST</v>
      </c>
      <c r="G284" t="str">
        <f>"MGI:1914878"</f>
        <v>MGI:1914878</v>
      </c>
      <c r="H284" t="str">
        <f>"Anp32b"</f>
        <v>Anp32b</v>
      </c>
      <c r="I284" t="s">
        <v>1988</v>
      </c>
      <c r="J284" t="s">
        <v>2010</v>
      </c>
    </row>
    <row r="285" spans="1:10">
      <c r="A285">
        <v>10339545</v>
      </c>
      <c r="B285">
        <v>2.0633736023589102</v>
      </c>
      <c r="C285">
        <v>0.190205600369662</v>
      </c>
      <c r="E285" t="str">
        <f>"10339545"</f>
        <v>10339545</v>
      </c>
      <c r="F285" t="str">
        <f>""</f>
        <v/>
      </c>
      <c r="G285" t="str">
        <f>"No associated gene"</f>
        <v>No associated gene</v>
      </c>
    </row>
    <row r="286" spans="1:10">
      <c r="A286">
        <v>10339375</v>
      </c>
      <c r="B286">
        <v>2.0568649812856399</v>
      </c>
      <c r="C286">
        <v>0.22986756345880499</v>
      </c>
      <c r="E286" t="str">
        <f>"10339375"</f>
        <v>10339375</v>
      </c>
      <c r="F286" t="str">
        <f>""</f>
        <v/>
      </c>
      <c r="G286" t="str">
        <f>"No associated gene"</f>
        <v>No associated gene</v>
      </c>
    </row>
    <row r="287" spans="1:10">
      <c r="A287">
        <v>10496580</v>
      </c>
      <c r="B287">
        <v>2.05276162360662</v>
      </c>
      <c r="C287">
        <v>0.32612231740245901</v>
      </c>
      <c r="E287" t="str">
        <f>"10496580"</f>
        <v>10496580</v>
      </c>
      <c r="F287" t="str">
        <f t="shared" ref="F287:F295" si="20">"Affy 1.0 ST"</f>
        <v>Affy 1.0 ST</v>
      </c>
      <c r="G287" t="str">
        <f>"MGI:1926263"</f>
        <v>MGI:1926263</v>
      </c>
      <c r="H287" t="str">
        <f>"Gbp3"</f>
        <v>Gbp3</v>
      </c>
      <c r="I287" t="str">
        <f>"guanylate binding protein 3"</f>
        <v>guanylate binding protein 3</v>
      </c>
      <c r="J287" t="str">
        <f t="shared" ref="J287:J293" si="21">"protein coding gene"</f>
        <v>protein coding gene</v>
      </c>
    </row>
    <row r="288" spans="1:10">
      <c r="A288">
        <v>10449303</v>
      </c>
      <c r="B288">
        <v>2.0457886337268198</v>
      </c>
      <c r="C288">
        <v>0.27981304424136</v>
      </c>
      <c r="E288" t="str">
        <f>"10449303"</f>
        <v>10449303</v>
      </c>
      <c r="F288" t="str">
        <f t="shared" si="20"/>
        <v>Affy 1.0 ST</v>
      </c>
      <c r="G288" t="str">
        <f>"MGI:1097161"</f>
        <v>MGI:1097161</v>
      </c>
      <c r="H288" t="str">
        <f>"Bak1"</f>
        <v>Bak1</v>
      </c>
      <c r="I288" t="str">
        <f>"BCL2-antagonist/killer 1"</f>
        <v>BCL2-antagonist/killer 1</v>
      </c>
      <c r="J288" t="str">
        <f t="shared" si="21"/>
        <v>protein coding gene</v>
      </c>
    </row>
    <row r="289" spans="1:10">
      <c r="A289">
        <v>10506118</v>
      </c>
      <c r="B289">
        <v>2.0370346627003899</v>
      </c>
      <c r="C289">
        <v>0.37865938865050103</v>
      </c>
      <c r="E289" t="str">
        <f>"10506118"</f>
        <v>10506118</v>
      </c>
      <c r="F289" t="str">
        <f t="shared" si="20"/>
        <v>Affy 1.0 ST</v>
      </c>
      <c r="G289" t="str">
        <f>"MGI:2385198"</f>
        <v>MGI:2385198</v>
      </c>
      <c r="H289" t="str">
        <f>"Usp1"</f>
        <v>Usp1</v>
      </c>
      <c r="I289" t="str">
        <f>"ubiquitin specific peptidase 1"</f>
        <v>ubiquitin specific peptidase 1</v>
      </c>
      <c r="J289" t="str">
        <f t="shared" si="21"/>
        <v>protein coding gene</v>
      </c>
    </row>
    <row r="290" spans="1:10">
      <c r="A290">
        <v>10571876</v>
      </c>
      <c r="B290">
        <v>2.0368660971782702</v>
      </c>
      <c r="C290">
        <v>0.252836387823759</v>
      </c>
      <c r="E290" t="str">
        <f>"10571876"</f>
        <v>10571876</v>
      </c>
      <c r="F290" t="str">
        <f t="shared" si="20"/>
        <v>Affy 1.0 ST</v>
      </c>
      <c r="G290" t="str">
        <f>"MGI:95640"</f>
        <v>MGI:95640</v>
      </c>
      <c r="H290" t="str">
        <f>"Gapdh"</f>
        <v>Gapdh</v>
      </c>
      <c r="I290" t="str">
        <f>"glyceraldehyde-3-phosphate dehydrogenase"</f>
        <v>glyceraldehyde-3-phosphate dehydrogenase</v>
      </c>
      <c r="J290" t="str">
        <f t="shared" si="21"/>
        <v>protein coding gene</v>
      </c>
    </row>
    <row r="291" spans="1:10">
      <c r="A291">
        <v>10492679</v>
      </c>
      <c r="B291">
        <v>2.0312567734007798</v>
      </c>
      <c r="C291">
        <v>0.451536702064957</v>
      </c>
      <c r="E291" t="str">
        <f>"10492679"</f>
        <v>10492679</v>
      </c>
      <c r="F291" t="str">
        <f t="shared" si="20"/>
        <v>Affy 1.0 ST</v>
      </c>
      <c r="G291" t="str">
        <f>"MGI:1923189"</f>
        <v>MGI:1923189</v>
      </c>
      <c r="H291" t="str">
        <f>"4930579G24Rik"</f>
        <v>4930579G24Rik</v>
      </c>
      <c r="I291" t="str">
        <f>"RIKEN cDNA 4930579G24 gene"</f>
        <v>RIKEN cDNA 4930579G24 gene</v>
      </c>
      <c r="J291" t="str">
        <f t="shared" si="21"/>
        <v>protein coding gene</v>
      </c>
    </row>
    <row r="292" spans="1:10">
      <c r="A292">
        <v>10582190</v>
      </c>
      <c r="B292">
        <v>2.0000056800263999</v>
      </c>
      <c r="C292">
        <v>0.364029006259808</v>
      </c>
      <c r="E292" t="str">
        <f>"10582190"</f>
        <v>10582190</v>
      </c>
      <c r="F292" t="str">
        <f t="shared" si="20"/>
        <v>Affy 1.0 ST</v>
      </c>
      <c r="G292" t="str">
        <f>"MGI:1921019"</f>
        <v>MGI:1921019</v>
      </c>
      <c r="H292" t="str">
        <f>"Gins2"</f>
        <v>Gins2</v>
      </c>
      <c r="I292" t="str">
        <f>"GINS complex subunit 2 (Psf2 homolog)"</f>
        <v>GINS complex subunit 2 (Psf2 homolog)</v>
      </c>
      <c r="J292" t="str">
        <f t="shared" si="21"/>
        <v>protein coding gene</v>
      </c>
    </row>
    <row r="293" spans="1:10">
      <c r="A293">
        <v>10547936</v>
      </c>
      <c r="B293">
        <v>1.9993627885018499</v>
      </c>
      <c r="C293">
        <v>0.261421629539344</v>
      </c>
      <c r="E293" t="str">
        <f>"10547936"</f>
        <v>10547936</v>
      </c>
      <c r="F293" t="str">
        <f t="shared" si="20"/>
        <v>Affy 1.0 ST</v>
      </c>
      <c r="G293" t="str">
        <f>"MGI:95640"</f>
        <v>MGI:95640</v>
      </c>
      <c r="H293" t="str">
        <f>"Gapdh"</f>
        <v>Gapdh</v>
      </c>
      <c r="I293" t="str">
        <f>"glyceraldehyde-3-phosphate dehydrogenase"</f>
        <v>glyceraldehyde-3-phosphate dehydrogenase</v>
      </c>
      <c r="J293" t="str">
        <f t="shared" si="21"/>
        <v>protein coding gene</v>
      </c>
    </row>
    <row r="294" spans="1:10">
      <c r="A294">
        <v>10533483</v>
      </c>
      <c r="B294">
        <v>1.9931254642768499</v>
      </c>
      <c r="C294">
        <v>0.26399531892790301</v>
      </c>
      <c r="E294" t="str">
        <f>"10533483"</f>
        <v>10533483</v>
      </c>
      <c r="F294" t="str">
        <f t="shared" si="20"/>
        <v>Affy 1.0 ST</v>
      </c>
      <c r="G294" t="str">
        <f>"MGI:88110"</f>
        <v>MGI:88110</v>
      </c>
      <c r="H294" t="str">
        <f>"Atp2a2"</f>
        <v>Atp2a2</v>
      </c>
      <c r="I294" t="s">
        <v>1989</v>
      </c>
      <c r="J294" t="s">
        <v>2010</v>
      </c>
    </row>
    <row r="295" spans="1:10">
      <c r="A295">
        <v>10362672</v>
      </c>
      <c r="B295">
        <v>1.98216956351236</v>
      </c>
      <c r="C295">
        <v>0.19003200311403601</v>
      </c>
      <c r="E295" t="str">
        <f>"10362672"</f>
        <v>10362672</v>
      </c>
      <c r="F295" t="str">
        <f t="shared" si="20"/>
        <v>Affy 1.0 ST</v>
      </c>
      <c r="G295" t="str">
        <f>"MGI:3643695"</f>
        <v>MGI:3643695</v>
      </c>
      <c r="H295" t="str">
        <f>"Gm8055"</f>
        <v>Gm8055</v>
      </c>
      <c r="I295" t="str">
        <f>"predicted pseudogene 8055"</f>
        <v>predicted pseudogene 8055</v>
      </c>
      <c r="J295" t="str">
        <f>"pseudogene"</f>
        <v>pseudogene</v>
      </c>
    </row>
    <row r="296" spans="1:10">
      <c r="A296">
        <v>10341299</v>
      </c>
      <c r="B296">
        <v>1.9682177373235701</v>
      </c>
      <c r="C296">
        <v>0.34914678409296301</v>
      </c>
      <c r="E296" t="str">
        <f>"10341299"</f>
        <v>10341299</v>
      </c>
      <c r="F296" t="str">
        <f>""</f>
        <v/>
      </c>
      <c r="G296" t="str">
        <f>"No associated gene"</f>
        <v>No associated gene</v>
      </c>
    </row>
    <row r="297" spans="1:10">
      <c r="A297">
        <v>10471586</v>
      </c>
      <c r="B297">
        <v>1.96645695906088</v>
      </c>
      <c r="C297">
        <v>0.30272168551637502</v>
      </c>
      <c r="E297" t="str">
        <f>"10471586"</f>
        <v>10471586</v>
      </c>
      <c r="F297" t="str">
        <f>"Affy 1.0 ST"</f>
        <v>Affy 1.0 ST</v>
      </c>
      <c r="G297" t="str">
        <f>"MGI:95835"</f>
        <v>MGI:95835</v>
      </c>
      <c r="H297" t="str">
        <f>"Hspa5"</f>
        <v>Hspa5</v>
      </c>
      <c r="I297" t="str">
        <f>"heat shock protein 5"</f>
        <v>heat shock protein 5</v>
      </c>
      <c r="J297" t="str">
        <f>"protein coding gene"</f>
        <v>protein coding gene</v>
      </c>
    </row>
    <row r="298" spans="1:10">
      <c r="A298">
        <v>10379346</v>
      </c>
      <c r="B298">
        <v>1.95617117491744</v>
      </c>
      <c r="C298">
        <v>0.286102224046767</v>
      </c>
      <c r="E298" t="str">
        <f>"10379346"</f>
        <v>10379346</v>
      </c>
      <c r="F298" t="str">
        <f>"Affy 1.0 ST"</f>
        <v>Affy 1.0 ST</v>
      </c>
      <c r="G298" t="str">
        <f>"MGI:1261758"</f>
        <v>MGI:1261758</v>
      </c>
      <c r="H298" t="str">
        <f>"Suz12"</f>
        <v>Suz12</v>
      </c>
      <c r="I298" t="str">
        <f>"suppressor of zeste 12 homolog (Drosophila)"</f>
        <v>suppressor of zeste 12 homolog (Drosophila)</v>
      </c>
      <c r="J298" t="str">
        <f>"protein coding gene"</f>
        <v>protein coding gene</v>
      </c>
    </row>
    <row r="299" spans="1:10">
      <c r="A299">
        <v>10519713</v>
      </c>
      <c r="B299">
        <v>1.9550843508799001</v>
      </c>
      <c r="C299">
        <v>0.18184672644170399</v>
      </c>
      <c r="E299" t="str">
        <f>"10519713"</f>
        <v>10519713</v>
      </c>
      <c r="F299" t="str">
        <f>""</f>
        <v/>
      </c>
      <c r="G299" t="str">
        <f>"No associated gene"</f>
        <v>No associated gene</v>
      </c>
    </row>
    <row r="300" spans="1:10">
      <c r="A300">
        <v>10556640</v>
      </c>
      <c r="B300">
        <v>1.9543291318681</v>
      </c>
      <c r="C300">
        <v>0.40382305469838797</v>
      </c>
      <c r="E300" t="str">
        <f>"10556640"</f>
        <v>10556640</v>
      </c>
      <c r="F300" t="str">
        <f>"Affy 1.0 ST"</f>
        <v>Affy 1.0 ST</v>
      </c>
      <c r="G300" t="str">
        <f>"MGI:2141942"</f>
        <v>MGI:2141942</v>
      </c>
      <c r="H300" t="str">
        <f>"6330503K22Rik"</f>
        <v>6330503K22Rik</v>
      </c>
      <c r="I300" t="str">
        <f>"RIKEN cDNA 6330503K22 gene"</f>
        <v>RIKEN cDNA 6330503K22 gene</v>
      </c>
      <c r="J300" t="str">
        <f>"protein coding gene"</f>
        <v>protein coding gene</v>
      </c>
    </row>
    <row r="301" spans="1:10">
      <c r="A301">
        <v>10348004</v>
      </c>
      <c r="B301">
        <v>1.95110289556341</v>
      </c>
      <c r="C301">
        <v>0.20441429596267299</v>
      </c>
      <c r="E301" t="str">
        <f>"10348004"</f>
        <v>10348004</v>
      </c>
      <c r="F301" t="str">
        <f>"Affy 1.0 ST"</f>
        <v>Affy 1.0 ST</v>
      </c>
      <c r="G301" t="str">
        <f>"MGI:1917497"</f>
        <v>MGI:1917497</v>
      </c>
      <c r="H301" t="str">
        <f>"Psmd1"</f>
        <v>Psmd1</v>
      </c>
      <c r="I301" t="s">
        <v>1990</v>
      </c>
      <c r="J301" t="s">
        <v>2010</v>
      </c>
    </row>
    <row r="302" spans="1:10">
      <c r="A302">
        <v>10459481</v>
      </c>
      <c r="B302">
        <v>1.9506438252349301</v>
      </c>
      <c r="C302">
        <v>0.23955339103206</v>
      </c>
      <c r="E302" t="str">
        <f>"10459481"</f>
        <v>10459481</v>
      </c>
      <c r="F302" t="str">
        <f>"Affy 1.0 ST"</f>
        <v>Affy 1.0 ST</v>
      </c>
      <c r="G302" t="str">
        <f>"MGI:1917611"</f>
        <v>MGI:1917611</v>
      </c>
      <c r="H302" t="str">
        <f>"Lman1"</f>
        <v>Lman1</v>
      </c>
      <c r="I302" t="s">
        <v>1991</v>
      </c>
      <c r="J302" t="s">
        <v>2010</v>
      </c>
    </row>
    <row r="303" spans="1:10">
      <c r="A303">
        <v>10342763</v>
      </c>
      <c r="B303">
        <v>1.94749962936022</v>
      </c>
      <c r="C303">
        <v>1.66435279475389E-2</v>
      </c>
      <c r="E303" t="str">
        <f>"10342763"</f>
        <v>10342763</v>
      </c>
      <c r="F303" t="str">
        <f>""</f>
        <v/>
      </c>
      <c r="G303" t="str">
        <f>"No associated gene"</f>
        <v>No associated gene</v>
      </c>
    </row>
    <row r="304" spans="1:10">
      <c r="A304">
        <v>10495873</v>
      </c>
      <c r="B304">
        <v>1.9405883792862699</v>
      </c>
      <c r="C304">
        <v>0.183420725652191</v>
      </c>
      <c r="E304" t="str">
        <f>"10495873"</f>
        <v>10495873</v>
      </c>
      <c r="F304" t="str">
        <f>"Affy 1.0 ST"</f>
        <v>Affy 1.0 ST</v>
      </c>
      <c r="G304" t="str">
        <f>"MGI:97803"</f>
        <v>MGI:97803</v>
      </c>
      <c r="H304" t="str">
        <f>"Ptma"</f>
        <v>Ptma</v>
      </c>
      <c r="I304" t="str">
        <f>"prothymosin alpha"</f>
        <v>prothymosin alpha</v>
      </c>
      <c r="J304" t="str">
        <f>"protein coding gene"</f>
        <v>protein coding gene</v>
      </c>
    </row>
    <row r="305" spans="1:10">
      <c r="A305">
        <v>10339065</v>
      </c>
      <c r="B305">
        <v>1.9333874964555999</v>
      </c>
      <c r="C305">
        <v>0.28518863806341499</v>
      </c>
      <c r="E305" t="str">
        <f>"10339065"</f>
        <v>10339065</v>
      </c>
      <c r="F305" t="str">
        <f>""</f>
        <v/>
      </c>
      <c r="G305" t="str">
        <f>"No associated gene"</f>
        <v>No associated gene</v>
      </c>
    </row>
    <row r="306" spans="1:10">
      <c r="A306">
        <v>10339578</v>
      </c>
      <c r="B306">
        <v>1.9247809256152399</v>
      </c>
      <c r="C306">
        <v>4.0394658207481303E-2</v>
      </c>
      <c r="E306" t="str">
        <f>"10339578"</f>
        <v>10339578</v>
      </c>
      <c r="F306" t="str">
        <f>""</f>
        <v/>
      </c>
      <c r="G306" t="str">
        <f>"No associated gene"</f>
        <v>No associated gene</v>
      </c>
    </row>
    <row r="307" spans="1:10">
      <c r="A307">
        <v>10378739</v>
      </c>
      <c r="B307">
        <v>1.91826520528247</v>
      </c>
      <c r="C307">
        <v>0.394810524024368</v>
      </c>
      <c r="E307" t="str">
        <f>"10378739"</f>
        <v>10378739</v>
      </c>
      <c r="F307" t="str">
        <f>"Affy 1.0 ST"</f>
        <v>Affy 1.0 ST</v>
      </c>
      <c r="G307" t="str">
        <f>"MGI:894689"</f>
        <v>MGI:894689</v>
      </c>
      <c r="H307" t="str">
        <f>"Ywhae"</f>
        <v>Ywhae</v>
      </c>
      <c r="I307" t="s">
        <v>1992</v>
      </c>
      <c r="J307" t="s">
        <v>2010</v>
      </c>
    </row>
    <row r="308" spans="1:10">
      <c r="A308">
        <v>10434675</v>
      </c>
      <c r="B308">
        <v>1.89194979625812</v>
      </c>
      <c r="C308">
        <v>0.299456667818842</v>
      </c>
      <c r="E308" t="str">
        <f>"10434675"</f>
        <v>10434675</v>
      </c>
      <c r="F308" t="str">
        <f>"Affy 1.0 ST"</f>
        <v>Affy 1.0 ST</v>
      </c>
      <c r="G308" t="str">
        <f>"MGI:1915088"</f>
        <v>MGI:1915088</v>
      </c>
      <c r="H308" t="str">
        <f>"Dnajb11"</f>
        <v>Dnajb11</v>
      </c>
      <c r="I308" t="s">
        <v>2073</v>
      </c>
      <c r="J308" t="s">
        <v>2010</v>
      </c>
    </row>
    <row r="309" spans="1:10">
      <c r="A309">
        <v>10385599</v>
      </c>
      <c r="B309">
        <v>1.89013159030419</v>
      </c>
      <c r="C309">
        <v>6.2392641788231999E-2</v>
      </c>
      <c r="E309" t="str">
        <f>"10385599"</f>
        <v>10385599</v>
      </c>
      <c r="F309" t="str">
        <f>"Affy 1.0 ST"</f>
        <v>Affy 1.0 ST</v>
      </c>
      <c r="G309" t="str">
        <f>"MGI:88261"</f>
        <v>MGI:88261</v>
      </c>
      <c r="H309" t="str">
        <f>"Canx"</f>
        <v>Canx</v>
      </c>
      <c r="I309" t="str">
        <f>"calnexin"</f>
        <v>calnexin</v>
      </c>
      <c r="J309" t="str">
        <f>"protein coding gene"</f>
        <v>protein coding gene</v>
      </c>
    </row>
    <row r="310" spans="1:10">
      <c r="A310">
        <v>10415444</v>
      </c>
      <c r="B310">
        <v>1.8817663706327099</v>
      </c>
      <c r="C310">
        <v>0.23309673115962701</v>
      </c>
      <c r="E310" t="str">
        <f>"10415444"</f>
        <v>10415444</v>
      </c>
      <c r="F310" t="str">
        <f>""</f>
        <v/>
      </c>
      <c r="G310" t="str">
        <f>"No associated gene"</f>
        <v>No associated gene</v>
      </c>
    </row>
    <row r="311" spans="1:10">
      <c r="A311">
        <v>10339737</v>
      </c>
      <c r="B311">
        <v>1.8804658112008401</v>
      </c>
      <c r="C311">
        <v>0.32912117380727302</v>
      </c>
      <c r="E311" t="str">
        <f>"10339737"</f>
        <v>10339737</v>
      </c>
      <c r="F311" t="str">
        <f>""</f>
        <v/>
      </c>
      <c r="G311" t="str">
        <f>"No associated gene"</f>
        <v>No associated gene</v>
      </c>
    </row>
    <row r="312" spans="1:10">
      <c r="A312">
        <v>10444658</v>
      </c>
      <c r="B312">
        <v>1.8753362443527299</v>
      </c>
      <c r="C312">
        <v>0.31750247150468602</v>
      </c>
      <c r="E312" t="str">
        <f>"10444658"</f>
        <v>10444658</v>
      </c>
      <c r="F312" t="str">
        <f>"Affy 1.0 ST"</f>
        <v>Affy 1.0 ST</v>
      </c>
      <c r="G312" t="str">
        <f>"MGI:2148924"</f>
        <v>MGI:2148924</v>
      </c>
      <c r="H312" t="str">
        <f>"Clic1"</f>
        <v>Clic1</v>
      </c>
      <c r="I312" t="str">
        <f>"chloride intracellular channel 1"</f>
        <v>chloride intracellular channel 1</v>
      </c>
      <c r="J312" t="str">
        <f>"protein coding gene"</f>
        <v>protein coding gene</v>
      </c>
    </row>
    <row r="313" spans="1:10">
      <c r="A313">
        <v>10342210</v>
      </c>
      <c r="B313">
        <v>1.87067554427484</v>
      </c>
      <c r="C313">
        <v>8.0394881686275996E-2</v>
      </c>
      <c r="E313" t="str">
        <f>"10342210"</f>
        <v>10342210</v>
      </c>
      <c r="F313" t="str">
        <f>""</f>
        <v/>
      </c>
      <c r="G313" t="str">
        <f>"No associated gene"</f>
        <v>No associated gene</v>
      </c>
    </row>
    <row r="314" spans="1:10">
      <c r="A314">
        <v>10400357</v>
      </c>
      <c r="B314">
        <v>1.8681646814883299</v>
      </c>
      <c r="C314">
        <v>0.20427317728981001</v>
      </c>
      <c r="E314" t="str">
        <f>"10400357"</f>
        <v>10400357</v>
      </c>
      <c r="F314" t="str">
        <f>"Affy 1.0 ST"</f>
        <v>Affy 1.0 ST</v>
      </c>
      <c r="G314" t="str">
        <f>"MGI:1309478"</f>
        <v>MGI:1309478</v>
      </c>
      <c r="H314" t="str">
        <f>"Baz1a"</f>
        <v>Baz1a</v>
      </c>
      <c r="I314" t="str">
        <f>"bromodomain adjacent to zinc finger domain 1A"</f>
        <v>bromodomain adjacent to zinc finger domain 1A</v>
      </c>
      <c r="J314" t="str">
        <f>"protein coding gene"</f>
        <v>protein coding gene</v>
      </c>
    </row>
    <row r="315" spans="1:10">
      <c r="A315">
        <v>10569181</v>
      </c>
      <c r="B315">
        <v>1.86167892757564</v>
      </c>
      <c r="C315">
        <v>0.34114406857014901</v>
      </c>
      <c r="E315" t="str">
        <f>"10569181"</f>
        <v>10569181</v>
      </c>
      <c r="F315" t="str">
        <f>"Affy 1.0 ST"</f>
        <v>Affy 1.0 ST</v>
      </c>
      <c r="G315" t="str">
        <f>"MGI:1889507"</f>
        <v>MGI:1889507</v>
      </c>
      <c r="H315" t="str">
        <f>"Lrdd"</f>
        <v>Lrdd</v>
      </c>
      <c r="I315" t="str">
        <f>"leucine-rich and death domain containing"</f>
        <v>leucine-rich and death domain containing</v>
      </c>
      <c r="J315" t="str">
        <f>"protein coding gene"</f>
        <v>protein coding gene</v>
      </c>
    </row>
    <row r="316" spans="1:10">
      <c r="A316">
        <v>10575550</v>
      </c>
      <c r="B316">
        <v>1.8562996665001199</v>
      </c>
      <c r="C316">
        <v>0.29870606813109801</v>
      </c>
      <c r="E316" t="str">
        <f>"10575550"</f>
        <v>10575550</v>
      </c>
      <c r="F316" t="str">
        <f>"Affy 1.0 ST"</f>
        <v>Affy 1.0 ST</v>
      </c>
      <c r="G316" t="str">
        <f>"MGI:2384560"</f>
        <v>MGI:2384560</v>
      </c>
      <c r="H316" t="str">
        <f>"Aars"</f>
        <v>Aars</v>
      </c>
      <c r="I316" t="str">
        <f>"alanyl-tRNA synthetase"</f>
        <v>alanyl-tRNA synthetase</v>
      </c>
      <c r="J316" t="str">
        <f>"protein coding gene"</f>
        <v>protein coding gene</v>
      </c>
    </row>
    <row r="317" spans="1:10">
      <c r="A317">
        <v>10517141</v>
      </c>
      <c r="B317">
        <v>1.85546402538896</v>
      </c>
      <c r="C317">
        <v>0.312844514027658</v>
      </c>
      <c r="E317" t="str">
        <f>"10517141"</f>
        <v>10517141</v>
      </c>
      <c r="F317" t="str">
        <f>"Affy 1.0 ST"</f>
        <v>Affy 1.0 ST</v>
      </c>
      <c r="G317" t="str">
        <f>"MGI:96136"</f>
        <v>MGI:96136</v>
      </c>
      <c r="H317" t="str">
        <f>"Hmgn2"</f>
        <v>Hmgn2</v>
      </c>
      <c r="I317" t="str">
        <f>"high mobility group nucleosomal binding domain 2"</f>
        <v>high mobility group nucleosomal binding domain 2</v>
      </c>
      <c r="J317" t="str">
        <f>"protein coding gene"</f>
        <v>protein coding gene</v>
      </c>
    </row>
    <row r="318" spans="1:10">
      <c r="A318">
        <v>10544015</v>
      </c>
      <c r="B318">
        <v>1.8370663290040301</v>
      </c>
      <c r="C318">
        <v>0.26840740341957497</v>
      </c>
      <c r="E318" t="str">
        <f>"10544015"</f>
        <v>10544015</v>
      </c>
      <c r="F318" t="str">
        <f>"Affy 1.0 ST"</f>
        <v>Affy 1.0 ST</v>
      </c>
      <c r="G318" t="str">
        <f>"MGI:99146"</f>
        <v>MGI:99146</v>
      </c>
      <c r="H318" t="str">
        <f>"Ybx1"</f>
        <v>Ybx1</v>
      </c>
      <c r="I318" t="str">
        <f>"Y box protein 1"</f>
        <v>Y box protein 1</v>
      </c>
      <c r="J318" t="str">
        <f>"protein coding gene"</f>
        <v>protein coding gene</v>
      </c>
    </row>
    <row r="319" spans="1:10">
      <c r="A319">
        <v>10338471</v>
      </c>
      <c r="B319">
        <v>1.8281643226284501</v>
      </c>
      <c r="C319">
        <v>0.218405006023461</v>
      </c>
      <c r="E319" t="str">
        <f>"10338471"</f>
        <v>10338471</v>
      </c>
      <c r="F319" t="str">
        <f>""</f>
        <v/>
      </c>
      <c r="G319" t="str">
        <f>"No associated gene"</f>
        <v>No associated gene</v>
      </c>
    </row>
    <row r="320" spans="1:10">
      <c r="A320">
        <v>10427772</v>
      </c>
      <c r="B320">
        <v>1.8188642126810799</v>
      </c>
      <c r="C320">
        <v>0.14683140055808599</v>
      </c>
      <c r="E320" t="str">
        <f>"10427772"</f>
        <v>10427772</v>
      </c>
      <c r="F320" t="str">
        <f t="shared" ref="F320:F336" si="22">"Affy 1.0 ST"</f>
        <v>Affy 1.0 ST</v>
      </c>
      <c r="G320" t="str">
        <f>"MGI:106314"</f>
        <v>MGI:106314</v>
      </c>
      <c r="H320" t="str">
        <f>"Tars"</f>
        <v>Tars</v>
      </c>
      <c r="I320" t="str">
        <f>"threonyl-tRNA synthetase"</f>
        <v>threonyl-tRNA synthetase</v>
      </c>
      <c r="J320" t="str">
        <f>"protein coding gene"</f>
        <v>protein coding gene</v>
      </c>
    </row>
    <row r="321" spans="1:10">
      <c r="A321">
        <v>10448192</v>
      </c>
      <c r="B321">
        <v>1.8186057972105001</v>
      </c>
      <c r="C321">
        <v>0.26676898020781797</v>
      </c>
      <c r="E321" t="str">
        <f>"10448192"</f>
        <v>10448192</v>
      </c>
      <c r="F321" t="str">
        <f t="shared" si="22"/>
        <v>Affy 1.0 ST</v>
      </c>
      <c r="G321" t="str">
        <f>"MGI:3647824"</f>
        <v>MGI:3647824</v>
      </c>
      <c r="H321" t="str">
        <f>"Gm6540"</f>
        <v>Gm6540</v>
      </c>
      <c r="I321" t="str">
        <f>"predicted gene 6540"</f>
        <v>predicted gene 6540</v>
      </c>
      <c r="J321" t="str">
        <f>"pseudogene"</f>
        <v>pseudogene</v>
      </c>
    </row>
    <row r="322" spans="1:10">
      <c r="A322">
        <v>10474239</v>
      </c>
      <c r="B322">
        <v>1.8142588666066799</v>
      </c>
      <c r="C322">
        <v>0.30055378405935301</v>
      </c>
      <c r="E322" t="str">
        <f>"10474239"</f>
        <v>10474239</v>
      </c>
      <c r="F322" t="str">
        <f t="shared" si="22"/>
        <v>Affy 1.0 ST</v>
      </c>
      <c r="G322" t="str">
        <f>"MGI:1915493"</f>
        <v>MGI:1915493</v>
      </c>
      <c r="H322" t="str">
        <f>"A930018P22Rik"</f>
        <v>A930018P22Rik</v>
      </c>
      <c r="I322" t="str">
        <f>"RIKEN cDNA A930018P22 gene"</f>
        <v>RIKEN cDNA A930018P22 gene</v>
      </c>
      <c r="J322" t="str">
        <f>"protein coding gene"</f>
        <v>protein coding gene</v>
      </c>
    </row>
    <row r="323" spans="1:10">
      <c r="A323">
        <v>10500034</v>
      </c>
      <c r="B323">
        <v>1.80866310207567</v>
      </c>
      <c r="C323">
        <v>0.21059832639151499</v>
      </c>
      <c r="E323" t="str">
        <f>"10500034"</f>
        <v>10500034</v>
      </c>
      <c r="F323" t="str">
        <f t="shared" si="22"/>
        <v>Affy 1.0 ST</v>
      </c>
      <c r="G323" t="str">
        <f>"MGI:1098257"</f>
        <v>MGI:1098257</v>
      </c>
      <c r="H323" t="str">
        <f>"Psmb4"</f>
        <v>Psmb4</v>
      </c>
      <c r="I323" t="s">
        <v>2074</v>
      </c>
      <c r="J323" t="s">
        <v>2010</v>
      </c>
    </row>
    <row r="324" spans="1:10">
      <c r="A324">
        <v>10420637</v>
      </c>
      <c r="B324">
        <v>1.8053809827363301</v>
      </c>
      <c r="C324">
        <v>0.26281980524728299</v>
      </c>
      <c r="E324" t="str">
        <f>"10420637"</f>
        <v>10420637</v>
      </c>
      <c r="F324" t="str">
        <f t="shared" si="22"/>
        <v>Affy 1.0 ST</v>
      </c>
      <c r="G324" t="str">
        <f>"MGI:1100863"</f>
        <v>MGI:1100863</v>
      </c>
      <c r="H324" t="str">
        <f>"Kpna3"</f>
        <v>Kpna3</v>
      </c>
      <c r="I324" t="str">
        <f>"karyopherin (importin) alpha 3"</f>
        <v>karyopherin (importin) alpha 3</v>
      </c>
      <c r="J324" t="str">
        <f>"protein coding gene"</f>
        <v>protein coding gene</v>
      </c>
    </row>
    <row r="325" spans="1:10">
      <c r="A325">
        <v>10595046</v>
      </c>
      <c r="B325">
        <v>1.79669582394885</v>
      </c>
      <c r="C325">
        <v>0.21798963027217</v>
      </c>
      <c r="E325" t="str">
        <f>"10595046"</f>
        <v>10595046</v>
      </c>
      <c r="F325" t="str">
        <f t="shared" si="22"/>
        <v>Affy 1.0 ST</v>
      </c>
      <c r="G325" t="str">
        <f>"MGI:3781847"</f>
        <v>MGI:3781847</v>
      </c>
      <c r="H325" t="str">
        <f>"Gm3671"</f>
        <v>Gm3671</v>
      </c>
      <c r="I325" t="str">
        <f>"predicted gene 3671"</f>
        <v>predicted gene 3671</v>
      </c>
      <c r="J325" t="str">
        <f>"pseudogene"</f>
        <v>pseudogene</v>
      </c>
    </row>
    <row r="326" spans="1:10">
      <c r="A326">
        <v>10417787</v>
      </c>
      <c r="B326">
        <v>1.79399544226053</v>
      </c>
      <c r="C326">
        <v>0.22550026786632399</v>
      </c>
      <c r="E326" t="str">
        <f>"10417787"</f>
        <v>10417787</v>
      </c>
      <c r="F326" t="str">
        <f t="shared" si="22"/>
        <v>Affy 1.0 ST</v>
      </c>
      <c r="G326" t="str">
        <f>"MGI:102705"</f>
        <v>MGI:102705</v>
      </c>
      <c r="H326" t="str">
        <f>"Gng2"</f>
        <v>Gng2</v>
      </c>
      <c r="I326" t="s">
        <v>2075</v>
      </c>
      <c r="J326" t="s">
        <v>2010</v>
      </c>
    </row>
    <row r="327" spans="1:10">
      <c r="A327">
        <v>10379689</v>
      </c>
      <c r="B327">
        <v>1.77957142391749</v>
      </c>
      <c r="C327">
        <v>0.21175441250326901</v>
      </c>
      <c r="E327" t="str">
        <f>"10379689"</f>
        <v>10379689</v>
      </c>
      <c r="F327" t="str">
        <f t="shared" si="22"/>
        <v>Affy 1.0 ST</v>
      </c>
      <c r="G327" t="str">
        <f>"MGI:1917689"</f>
        <v>MGI:1917689</v>
      </c>
      <c r="H327" t="str">
        <f>"Taf15"</f>
        <v>Taf15</v>
      </c>
      <c r="I327" t="s">
        <v>2076</v>
      </c>
      <c r="J327" t="s">
        <v>2010</v>
      </c>
    </row>
    <row r="328" spans="1:10">
      <c r="A328">
        <v>10562639</v>
      </c>
      <c r="B328">
        <v>1.7713734908032399</v>
      </c>
      <c r="C328">
        <v>0.25729762887193502</v>
      </c>
      <c r="E328" t="str">
        <f>"10562639"</f>
        <v>10562639</v>
      </c>
      <c r="F328" t="str">
        <f t="shared" si="22"/>
        <v>Affy 1.0 ST</v>
      </c>
      <c r="G328" t="str">
        <f>"MGI:95640"</f>
        <v>MGI:95640</v>
      </c>
      <c r="H328" t="str">
        <f>"Gapdh"</f>
        <v>Gapdh</v>
      </c>
      <c r="I328" t="str">
        <f>"glyceraldehyde-3-phosphate dehydrogenase"</f>
        <v>glyceraldehyde-3-phosphate dehydrogenase</v>
      </c>
      <c r="J328" t="str">
        <f>"protein coding gene"</f>
        <v>protein coding gene</v>
      </c>
    </row>
    <row r="329" spans="1:10">
      <c r="A329">
        <v>10600593</v>
      </c>
      <c r="B329">
        <v>1.76753201883237</v>
      </c>
      <c r="C329">
        <v>0.126111663739084</v>
      </c>
      <c r="E329" t="str">
        <f>"10600593"</f>
        <v>10600593</v>
      </c>
      <c r="F329" t="str">
        <f t="shared" si="22"/>
        <v>Affy 1.0 ST</v>
      </c>
      <c r="G329" t="str">
        <f>"MGI:1917171"</f>
        <v>MGI:1917171</v>
      </c>
      <c r="H329" t="str">
        <f>"Hnrnpa3"</f>
        <v>Hnrnpa3</v>
      </c>
      <c r="I329" t="str">
        <f>"heterogeneous nuclear ribonucleoprotein A3"</f>
        <v>heterogeneous nuclear ribonucleoprotein A3</v>
      </c>
      <c r="J329" t="str">
        <f>"protein coding gene"</f>
        <v>protein coding gene</v>
      </c>
    </row>
    <row r="330" spans="1:10">
      <c r="A330">
        <v>10351825</v>
      </c>
      <c r="B330">
        <v>1.7176688111140701</v>
      </c>
      <c r="C330">
        <v>0.13240469557574899</v>
      </c>
      <c r="E330" t="str">
        <f>"10351825"</f>
        <v>10351825</v>
      </c>
      <c r="F330" t="str">
        <f t="shared" si="22"/>
        <v>Affy 1.0 ST</v>
      </c>
      <c r="G330" t="str">
        <f>"MGI:1312985"</f>
        <v>MGI:1312985</v>
      </c>
      <c r="H330" t="str">
        <f>"Tagln2"</f>
        <v>Tagln2</v>
      </c>
      <c r="I330" t="str">
        <f>"transgelin 2"</f>
        <v>transgelin 2</v>
      </c>
      <c r="J330" t="str">
        <f>"protein coding gene"</f>
        <v>protein coding gene</v>
      </c>
    </row>
    <row r="331" spans="1:10">
      <c r="A331">
        <v>10458841</v>
      </c>
      <c r="B331">
        <v>1.7101491524333801</v>
      </c>
      <c r="C331">
        <v>0.18756585327917699</v>
      </c>
      <c r="E331" t="str">
        <f>"10458841"</f>
        <v>10458841</v>
      </c>
      <c r="F331" t="str">
        <f t="shared" si="22"/>
        <v>Affy 1.0 ST</v>
      </c>
      <c r="G331" t="str">
        <f>"MGI:3781919"</f>
        <v>MGI:3781919</v>
      </c>
      <c r="H331" t="str">
        <f>"Gm3744"</f>
        <v>Gm3744</v>
      </c>
      <c r="I331" t="str">
        <f>"predicted gene 3744"</f>
        <v>predicted gene 3744</v>
      </c>
      <c r="J331" t="str">
        <f>"pseudogene"</f>
        <v>pseudogene</v>
      </c>
    </row>
    <row r="332" spans="1:10">
      <c r="A332">
        <v>10393642</v>
      </c>
      <c r="B332">
        <v>1.7061610674149701</v>
      </c>
      <c r="C332">
        <v>8.7894833869189698E-2</v>
      </c>
      <c r="E332" t="str">
        <f>"10393642"</f>
        <v>10393642</v>
      </c>
      <c r="F332" t="str">
        <f t="shared" si="22"/>
        <v>Affy 1.0 ST</v>
      </c>
      <c r="G332" t="str">
        <f>"MGI:1923731"</f>
        <v>MGI:1923731</v>
      </c>
      <c r="H332" t="str">
        <f>"Eif4a3"</f>
        <v>Eif4a3</v>
      </c>
      <c r="I332" t="str">
        <f>"eukaryotic translation initiation factor 4A3"</f>
        <v>eukaryotic translation initiation factor 4A3</v>
      </c>
      <c r="J332" t="str">
        <f>"protein coding gene"</f>
        <v>protein coding gene</v>
      </c>
    </row>
    <row r="333" spans="1:10">
      <c r="A333">
        <v>10408709</v>
      </c>
      <c r="B333">
        <v>1.6992112303558999</v>
      </c>
      <c r="C333">
        <v>8.5006539867699293E-2</v>
      </c>
      <c r="E333" t="str">
        <f>"10408709"</f>
        <v>10408709</v>
      </c>
      <c r="F333" t="str">
        <f t="shared" si="22"/>
        <v>Affy 1.0 ST</v>
      </c>
      <c r="G333" t="str">
        <f>"MGI:105082"</f>
        <v>MGI:105082</v>
      </c>
      <c r="H333" t="str">
        <f>"Ssr1"</f>
        <v>Ssr1</v>
      </c>
      <c r="I333" t="s">
        <v>1996</v>
      </c>
      <c r="J333" t="s">
        <v>2010</v>
      </c>
    </row>
    <row r="334" spans="1:10">
      <c r="A334">
        <v>10356800</v>
      </c>
      <c r="B334">
        <v>1.6101176181643899</v>
      </c>
      <c r="C334">
        <v>2.0856572303182001E-2</v>
      </c>
      <c r="E334" t="str">
        <f>"10356800"</f>
        <v>10356800</v>
      </c>
      <c r="F334" t="str">
        <f t="shared" si="22"/>
        <v>Affy 1.0 ST</v>
      </c>
      <c r="G334" t="str">
        <f>"MGI:99256"</f>
        <v>MGI:99256</v>
      </c>
      <c r="H334" t="str">
        <f>"Hdlbp"</f>
        <v>Hdlbp</v>
      </c>
      <c r="I334" t="str">
        <f>"high density lipoprotein (HDL) binding protein"</f>
        <v>high density lipoprotein (HDL) binding protein</v>
      </c>
      <c r="J334" t="str">
        <f>"protein coding gene"</f>
        <v>protein coding gene</v>
      </c>
    </row>
    <row r="335" spans="1:10">
      <c r="A335">
        <v>10482731</v>
      </c>
      <c r="B335">
        <v>1.5987264096576499</v>
      </c>
      <c r="C335">
        <v>7.5127734688916994E-2</v>
      </c>
      <c r="E335" t="str">
        <f>"10482731"</f>
        <v>10482731</v>
      </c>
      <c r="F335" t="str">
        <f t="shared" si="22"/>
        <v>Affy 1.0 ST</v>
      </c>
      <c r="G335" t="str">
        <f>"MGI:1860512"</f>
        <v>MGI:1860512</v>
      </c>
      <c r="H335" t="str">
        <f>"Prpf40a"</f>
        <v>Prpf40a</v>
      </c>
      <c r="I335" t="str">
        <f>"PRP40 pre-mRNA processing factor 40 homolog A (yeast)"</f>
        <v>PRP40 pre-mRNA processing factor 40 homolog A (yeast)</v>
      </c>
      <c r="J335" t="str">
        <f>"protein coding gene"</f>
        <v>protein coding gene</v>
      </c>
    </row>
    <row r="336" spans="1:10">
      <c r="A336">
        <v>10532753</v>
      </c>
      <c r="B336">
        <v>1.5888699223012299</v>
      </c>
      <c r="C336">
        <v>6.7740926865287002E-2</v>
      </c>
      <c r="E336" t="str">
        <f>"10532753"</f>
        <v>10532753</v>
      </c>
      <c r="F336" t="str">
        <f t="shared" si="22"/>
        <v>Affy 1.0 ST</v>
      </c>
      <c r="G336" t="str">
        <f>"MGI:1345964"</f>
        <v>MGI:1345964</v>
      </c>
      <c r="H336" t="str">
        <f>"Coro1c"</f>
        <v>Coro1c</v>
      </c>
      <c r="I336" t="s">
        <v>1997</v>
      </c>
      <c r="J336" t="s">
        <v>2010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79"/>
  <sheetViews>
    <sheetView workbookViewId="0">
      <selection activeCell="A4" sqref="A4"/>
    </sheetView>
  </sheetViews>
  <sheetFormatPr baseColWidth="10" defaultRowHeight="13"/>
  <sheetData>
    <row r="3" spans="1:11">
      <c r="A3" s="1" t="s">
        <v>1787</v>
      </c>
    </row>
    <row r="5" spans="1:11">
      <c r="B5" t="s">
        <v>2249</v>
      </c>
      <c r="C5" t="s">
        <v>2250</v>
      </c>
      <c r="F5" t="str">
        <f>"Input"</f>
        <v>Input</v>
      </c>
      <c r="G5" t="str">
        <f>"Input type"</f>
        <v>Input type</v>
      </c>
      <c r="H5" t="str">
        <f>"MGI Gene/Marker ID"</f>
        <v>MGI Gene/Marker ID</v>
      </c>
      <c r="I5" t="str">
        <f>"Symbol"</f>
        <v>Symbol</v>
      </c>
      <c r="J5" t="str">
        <f>"Name"</f>
        <v>Name</v>
      </c>
      <c r="K5" t="str">
        <f>"Feature Type"</f>
        <v>Feature Type</v>
      </c>
    </row>
    <row r="6" spans="1:11">
      <c r="A6">
        <v>10403978</v>
      </c>
      <c r="B6">
        <v>254.43857586462701</v>
      </c>
      <c r="C6">
        <v>290.145654380444</v>
      </c>
      <c r="E6" t="str">
        <f>"10403978"</f>
        <v>10403978</v>
      </c>
      <c r="F6" t="str">
        <f t="shared" ref="F6:F69" si="0">"Affy 1.0 ST"</f>
        <v>Affy 1.0 ST</v>
      </c>
      <c r="G6" t="str">
        <f>"MGI:3710645"</f>
        <v>MGI:3710645</v>
      </c>
      <c r="H6" t="str">
        <f>"Hist1h2br"</f>
        <v>Hist1h2br</v>
      </c>
      <c r="I6" t="str">
        <f>"histone cluster 1 H2br"</f>
        <v>histone cluster 1 H2br</v>
      </c>
      <c r="J6" t="str">
        <f>"protein coding gene"</f>
        <v>protein coding gene</v>
      </c>
    </row>
    <row r="7" spans="1:11">
      <c r="A7">
        <v>10487480</v>
      </c>
      <c r="B7">
        <v>34.412420889495699</v>
      </c>
      <c r="C7">
        <v>36.271608245404003</v>
      </c>
      <c r="E7" t="str">
        <f>"10487480"</f>
        <v>10487480</v>
      </c>
      <c r="F7" t="str">
        <f t="shared" si="0"/>
        <v>Affy 1.0 ST</v>
      </c>
      <c r="G7" t="str">
        <f>"MGI:1100510"</f>
        <v>MGI:1100510</v>
      </c>
      <c r="H7" t="str">
        <f>"Bub1"</f>
        <v>Bub1</v>
      </c>
      <c r="I7" t="str">
        <f>"budding uninhibited by benzimidazoles 1 homolog (S. cerevisiae)"</f>
        <v>budding uninhibited by benzimidazoles 1 homolog (S. cerevisiae)</v>
      </c>
      <c r="J7" t="str">
        <f>"protein coding gene"</f>
        <v>protein coding gene</v>
      </c>
    </row>
    <row r="8" spans="1:11">
      <c r="A8">
        <v>10390707</v>
      </c>
      <c r="B8">
        <v>28.295135128756399</v>
      </c>
      <c r="C8">
        <v>30.8907146139159</v>
      </c>
      <c r="E8" t="str">
        <f>"10390707"</f>
        <v>10390707</v>
      </c>
      <c r="F8" t="str">
        <f t="shared" si="0"/>
        <v>Affy 1.0 ST</v>
      </c>
      <c r="G8" t="str">
        <f>"MGI:98790"</f>
        <v>MGI:98790</v>
      </c>
      <c r="H8" t="str">
        <f>"Top2a"</f>
        <v>Top2a</v>
      </c>
      <c r="I8" t="str">
        <f>"topoisomerase (DNA) II alpha"</f>
        <v>topoisomerase (DNA) II alpha</v>
      </c>
      <c r="J8" t="str">
        <f>"protein coding gene"</f>
        <v>protein coding gene</v>
      </c>
    </row>
    <row r="9" spans="1:11">
      <c r="A9">
        <v>10404063</v>
      </c>
      <c r="B9">
        <v>26.625731530228599</v>
      </c>
      <c r="C9">
        <v>28.251090297772901</v>
      </c>
      <c r="E9" t="str">
        <f>"10404063"</f>
        <v>10404063</v>
      </c>
      <c r="F9" t="str">
        <f t="shared" si="0"/>
        <v>Affy 1.0 ST</v>
      </c>
      <c r="G9" t="str">
        <f>"MGI:2448306"</f>
        <v>MGI:2448306</v>
      </c>
      <c r="H9" t="str">
        <f>"Hist1h2ab"</f>
        <v>Hist1h2ab</v>
      </c>
      <c r="I9" t="s">
        <v>2012</v>
      </c>
      <c r="J9" t="s">
        <v>2010</v>
      </c>
    </row>
    <row r="10" spans="1:11">
      <c r="A10">
        <v>10399087</v>
      </c>
      <c r="B10">
        <v>26.367186346929401</v>
      </c>
      <c r="C10">
        <v>27.4895147943129</v>
      </c>
      <c r="E10" t="str">
        <f>"10399087"</f>
        <v>10399087</v>
      </c>
      <c r="F10" t="str">
        <f t="shared" si="0"/>
        <v>Affy 1.0 ST</v>
      </c>
      <c r="G10" t="str">
        <f>"MGI:1923294"</f>
        <v>MGI:1923294</v>
      </c>
      <c r="H10" t="str">
        <f>"Ncapg2"</f>
        <v>Ncapg2</v>
      </c>
      <c r="I10" t="s">
        <v>2079</v>
      </c>
      <c r="J10" t="s">
        <v>2010</v>
      </c>
    </row>
    <row r="11" spans="1:11">
      <c r="A11">
        <v>10462796</v>
      </c>
      <c r="B11">
        <v>25.3979819518906</v>
      </c>
      <c r="C11">
        <v>26.698430588367</v>
      </c>
      <c r="E11" t="str">
        <f>"10462796"</f>
        <v>10462796</v>
      </c>
      <c r="F11" t="str">
        <f t="shared" si="0"/>
        <v>Affy 1.0 ST</v>
      </c>
      <c r="G11" t="str">
        <f>"MGI:1098231"</f>
        <v>MGI:1098231</v>
      </c>
      <c r="H11" t="str">
        <f>"Kif11"</f>
        <v>Kif11</v>
      </c>
      <c r="I11" t="str">
        <f>"kinesin family member 11"</f>
        <v>kinesin family member 11</v>
      </c>
      <c r="J11" t="str">
        <f>"protein coding gene"</f>
        <v>protein coding gene</v>
      </c>
    </row>
    <row r="12" spans="1:11">
      <c r="A12">
        <v>10497831</v>
      </c>
      <c r="B12">
        <v>24.753334196998001</v>
      </c>
      <c r="C12">
        <v>25.295754972566499</v>
      </c>
      <c r="E12" t="str">
        <f>"10497831"</f>
        <v>10497831</v>
      </c>
      <c r="F12" t="str">
        <f t="shared" si="0"/>
        <v>Affy 1.0 ST</v>
      </c>
      <c r="G12" t="str">
        <f>"MGI:108069"</f>
        <v>MGI:108069</v>
      </c>
      <c r="H12" t="str">
        <f>"Ccna2"</f>
        <v>Ccna2</v>
      </c>
      <c r="I12" t="str">
        <f>"cyclin A2"</f>
        <v>cyclin A2</v>
      </c>
      <c r="J12" t="str">
        <f>"protein coding gene"</f>
        <v>protein coding gene</v>
      </c>
    </row>
    <row r="13" spans="1:11">
      <c r="A13">
        <v>10521731</v>
      </c>
      <c r="B13">
        <v>24.1436170055043</v>
      </c>
      <c r="C13">
        <v>24.725621964574898</v>
      </c>
      <c r="E13" t="str">
        <f>"10521731"</f>
        <v>10521731</v>
      </c>
      <c r="F13" t="str">
        <f t="shared" si="0"/>
        <v>Affy 1.0 ST</v>
      </c>
      <c r="G13" t="str">
        <f>"MGI:1930197"</f>
        <v>MGI:1930197</v>
      </c>
      <c r="H13" t="str">
        <f>"Ncapg"</f>
        <v>Ncapg</v>
      </c>
      <c r="I13" t="s">
        <v>2077</v>
      </c>
      <c r="J13" t="s">
        <v>2010</v>
      </c>
    </row>
    <row r="14" spans="1:11">
      <c r="A14">
        <v>10359890</v>
      </c>
      <c r="B14">
        <v>23.562360513624299</v>
      </c>
      <c r="C14">
        <v>23.650234025955001</v>
      </c>
      <c r="E14" t="str">
        <f>"10359890"</f>
        <v>10359890</v>
      </c>
      <c r="F14" t="str">
        <f t="shared" si="0"/>
        <v>Affy 1.0 ST</v>
      </c>
      <c r="G14" t="str">
        <f>"MGI:1914227"</f>
        <v>MGI:1914227</v>
      </c>
      <c r="H14" t="str">
        <f>"Nuf2"</f>
        <v>Nuf2</v>
      </c>
      <c r="I14" t="s">
        <v>2078</v>
      </c>
      <c r="J14" t="s">
        <v>2010</v>
      </c>
    </row>
    <row r="15" spans="1:11">
      <c r="A15">
        <v>10586448</v>
      </c>
      <c r="B15">
        <v>22.5647339268736</v>
      </c>
      <c r="C15">
        <v>22.535855598086901</v>
      </c>
      <c r="E15" t="str">
        <f>"10586448"</f>
        <v>10586448</v>
      </c>
      <c r="F15" t="str">
        <f t="shared" si="0"/>
        <v>Affy 1.0 ST</v>
      </c>
      <c r="G15" t="str">
        <f>"MGI:1915276"</f>
        <v>MGI:1915276</v>
      </c>
      <c r="H15" t="str">
        <f>"2810417H13Rik"</f>
        <v>2810417H13Rik</v>
      </c>
      <c r="I15" t="str">
        <f>"RIKEN cDNA 2810417H13 gene"</f>
        <v>RIKEN cDNA 2810417H13 gene</v>
      </c>
      <c r="J15" t="str">
        <f t="shared" ref="J15:J25" si="1">"protein coding gene"</f>
        <v>protein coding gene</v>
      </c>
    </row>
    <row r="16" spans="1:11">
      <c r="A16">
        <v>10568714</v>
      </c>
      <c r="B16">
        <v>21.4879795032586</v>
      </c>
      <c r="C16">
        <v>22.355856511958901</v>
      </c>
      <c r="E16" t="str">
        <f>"10568714"</f>
        <v>10568714</v>
      </c>
      <c r="F16" t="str">
        <f t="shared" si="0"/>
        <v>Affy 1.0 ST</v>
      </c>
      <c r="G16" t="str">
        <f>"MGI:106035"</f>
        <v>MGI:106035</v>
      </c>
      <c r="H16" t="str">
        <f>"Mki67"</f>
        <v>Mki67</v>
      </c>
      <c r="I16" t="str">
        <f>"antigen identified by monoclonal antibody Ki 67"</f>
        <v>antigen identified by monoclonal antibody Ki 67</v>
      </c>
      <c r="J16" t="str">
        <f t="shared" si="1"/>
        <v>protein coding gene</v>
      </c>
    </row>
    <row r="17" spans="1:10">
      <c r="A17">
        <v>10601011</v>
      </c>
      <c r="B17">
        <v>21.000521999916099</v>
      </c>
      <c r="C17">
        <v>20.2363603946614</v>
      </c>
      <c r="E17" t="str">
        <f>"10601011"</f>
        <v>10601011</v>
      </c>
      <c r="F17" t="str">
        <f t="shared" si="0"/>
        <v>Affy 1.0 ST</v>
      </c>
      <c r="G17" t="str">
        <f>"MGI:108389"</f>
        <v>MGI:108389</v>
      </c>
      <c r="H17" t="str">
        <f>"Kif4"</f>
        <v>Kif4</v>
      </c>
      <c r="I17" t="str">
        <f>"kinesin family member 4"</f>
        <v>kinesin family member 4</v>
      </c>
      <c r="J17" t="str">
        <f t="shared" si="1"/>
        <v>protein coding gene</v>
      </c>
    </row>
    <row r="18" spans="1:10">
      <c r="A18">
        <v>10562637</v>
      </c>
      <c r="B18">
        <v>20.664786010369301</v>
      </c>
      <c r="C18">
        <v>19.103546978589399</v>
      </c>
      <c r="E18" t="str">
        <f>"10562637"</f>
        <v>10562637</v>
      </c>
      <c r="F18" t="str">
        <f t="shared" si="0"/>
        <v>Affy 1.0 ST</v>
      </c>
      <c r="G18" t="str">
        <f>"MGI:88302"</f>
        <v>MGI:88302</v>
      </c>
      <c r="H18" t="str">
        <f>"Ccnb1"</f>
        <v>Ccnb1</v>
      </c>
      <c r="I18" t="str">
        <f>"cyclin B1"</f>
        <v>cyclin B1</v>
      </c>
      <c r="J18" t="str">
        <f t="shared" si="1"/>
        <v>protein coding gene</v>
      </c>
    </row>
    <row r="19" spans="1:10">
      <c r="A19">
        <v>10554445</v>
      </c>
      <c r="B19">
        <v>19.9493936083676</v>
      </c>
      <c r="C19">
        <v>20.147540929795799</v>
      </c>
      <c r="E19" t="str">
        <f>"10554445"</f>
        <v>10554445</v>
      </c>
      <c r="F19" t="str">
        <f t="shared" si="0"/>
        <v>Affy 1.0 ST</v>
      </c>
      <c r="G19" t="str">
        <f>"MGI:1858961"</f>
        <v>MGI:1858961</v>
      </c>
      <c r="H19" t="str">
        <f>"Prc1"</f>
        <v>Prc1</v>
      </c>
      <c r="I19" t="str">
        <f>"protein regulator of cytokinesis 1"</f>
        <v>protein regulator of cytokinesis 1</v>
      </c>
      <c r="J19" t="str">
        <f t="shared" si="1"/>
        <v>protein coding gene</v>
      </c>
    </row>
    <row r="20" spans="1:10">
      <c r="A20">
        <v>10411739</v>
      </c>
      <c r="B20">
        <v>19.8103024146465</v>
      </c>
      <c r="C20">
        <v>18.400867136347699</v>
      </c>
      <c r="E20" t="str">
        <f>"10411739"</f>
        <v>10411739</v>
      </c>
      <c r="F20" t="str">
        <f t="shared" si="0"/>
        <v>Affy 1.0 ST</v>
      </c>
      <c r="G20" t="str">
        <f>"MGI:88302"</f>
        <v>MGI:88302</v>
      </c>
      <c r="H20" t="str">
        <f>"Ccnb1"</f>
        <v>Ccnb1</v>
      </c>
      <c r="I20" t="str">
        <f>"cyclin B1"</f>
        <v>cyclin B1</v>
      </c>
      <c r="J20" t="str">
        <f t="shared" si="1"/>
        <v>protein coding gene</v>
      </c>
    </row>
    <row r="21" spans="1:10">
      <c r="A21">
        <v>10394978</v>
      </c>
      <c r="B21">
        <v>19.804709377133001</v>
      </c>
      <c r="C21">
        <v>19.3608528444374</v>
      </c>
      <c r="E21" t="str">
        <f>"10394978"</f>
        <v>10394978</v>
      </c>
      <c r="F21" t="str">
        <f t="shared" si="0"/>
        <v>Affy 1.0 ST</v>
      </c>
      <c r="G21" t="str">
        <f>"MGI:98181"</f>
        <v>MGI:98181</v>
      </c>
      <c r="H21" t="str">
        <f>"Rrm2"</f>
        <v>Rrm2</v>
      </c>
      <c r="I21" t="str">
        <f>"ribonucleotide reductase M2"</f>
        <v>ribonucleotide reductase M2</v>
      </c>
      <c r="J21" t="str">
        <f t="shared" si="1"/>
        <v>protein coding gene</v>
      </c>
    </row>
    <row r="22" spans="1:10">
      <c r="A22">
        <v>10420877</v>
      </c>
      <c r="B22">
        <v>19.702639035377</v>
      </c>
      <c r="C22">
        <v>18.432109058999199</v>
      </c>
      <c r="E22" t="str">
        <f>"10420877"</f>
        <v>10420877</v>
      </c>
      <c r="F22" t="str">
        <f t="shared" si="0"/>
        <v>Affy 1.0 ST</v>
      </c>
      <c r="G22" t="str">
        <f>"MGI:1919238"</f>
        <v>MGI:1919238</v>
      </c>
      <c r="H22" t="str">
        <f>"Esco2"</f>
        <v>Esco2</v>
      </c>
      <c r="I22" t="str">
        <f>"establishment of cohesion 1 homolog 2 (S. cerevisiae)"</f>
        <v>establishment of cohesion 1 homolog 2 (S. cerevisiae)</v>
      </c>
      <c r="J22" t="str">
        <f t="shared" si="1"/>
        <v>protein coding gene</v>
      </c>
    </row>
    <row r="23" spans="1:10">
      <c r="A23">
        <v>10563780</v>
      </c>
      <c r="B23">
        <v>19.376468619516</v>
      </c>
      <c r="C23">
        <v>18.750283807334299</v>
      </c>
      <c r="E23" t="str">
        <f>"10563780"</f>
        <v>10563780</v>
      </c>
      <c r="F23" t="str">
        <f t="shared" si="0"/>
        <v>Affy 1.0 ST</v>
      </c>
      <c r="G23" t="str">
        <f>"MGI:1922038"</f>
        <v>MGI:1922038</v>
      </c>
      <c r="H23" t="str">
        <f>"E2f8"</f>
        <v>E2f8</v>
      </c>
      <c r="I23" t="str">
        <f>"E2F transcription factor 8"</f>
        <v>E2F transcription factor 8</v>
      </c>
      <c r="J23" t="str">
        <f t="shared" si="1"/>
        <v>protein coding gene</v>
      </c>
    </row>
    <row r="24" spans="1:10">
      <c r="A24">
        <v>10462866</v>
      </c>
      <c r="B24">
        <v>19.023535257617599</v>
      </c>
      <c r="C24">
        <v>17.218728598073799</v>
      </c>
      <c r="E24" t="str">
        <f>"10462866"</f>
        <v>10462866</v>
      </c>
      <c r="F24" t="str">
        <f t="shared" si="0"/>
        <v>Affy 1.0 ST</v>
      </c>
      <c r="G24" t="str">
        <f>"MGI:1921357"</f>
        <v>MGI:1921357</v>
      </c>
      <c r="H24" t="str">
        <f>"Cep55"</f>
        <v>Cep55</v>
      </c>
      <c r="I24" t="str">
        <f>"centrosomal protein 55"</f>
        <v>centrosomal protein 55</v>
      </c>
      <c r="J24" t="str">
        <f t="shared" si="1"/>
        <v>protein coding gene</v>
      </c>
    </row>
    <row r="25" spans="1:10">
      <c r="A25">
        <v>10385248</v>
      </c>
      <c r="B25">
        <v>18.642944543515</v>
      </c>
      <c r="C25">
        <v>16.6791726207625</v>
      </c>
      <c r="E25" t="str">
        <f>"10385248"</f>
        <v>10385248</v>
      </c>
      <c r="F25" t="str">
        <f t="shared" si="0"/>
        <v>Affy 1.0 ST</v>
      </c>
      <c r="G25" t="str">
        <f>"MGI:104667"</f>
        <v>MGI:104667</v>
      </c>
      <c r="H25" t="str">
        <f>"Hmmr"</f>
        <v>Hmmr</v>
      </c>
      <c r="I25" t="str">
        <f>"hyaluronan mediated motility receptor (RHAMM)"</f>
        <v>hyaluronan mediated motility receptor (RHAMM)</v>
      </c>
      <c r="J25" t="str">
        <f t="shared" si="1"/>
        <v>protein coding gene</v>
      </c>
    </row>
    <row r="26" spans="1:10">
      <c r="A26">
        <v>10350392</v>
      </c>
      <c r="B26">
        <v>17.8235881930622</v>
      </c>
      <c r="C26">
        <v>16.281165309973499</v>
      </c>
      <c r="E26" t="str">
        <f>"10350392"</f>
        <v>10350392</v>
      </c>
      <c r="F26" t="str">
        <f t="shared" si="0"/>
        <v>Affy 1.0 ST</v>
      </c>
      <c r="G26" t="str">
        <f>"MGI:1334448"</f>
        <v>MGI:1334448</v>
      </c>
      <c r="H26" t="str">
        <f>"Aspm"</f>
        <v>Aspm</v>
      </c>
      <c r="I26" t="s">
        <v>2085</v>
      </c>
      <c r="J26" t="s">
        <v>2010</v>
      </c>
    </row>
    <row r="27" spans="1:10">
      <c r="A27">
        <v>10563883</v>
      </c>
      <c r="B27">
        <v>17.581951373306801</v>
      </c>
      <c r="C27">
        <v>17.310101294465699</v>
      </c>
      <c r="E27" t="str">
        <f>"10563883"</f>
        <v>10563883</v>
      </c>
      <c r="F27" t="str">
        <f t="shared" si="0"/>
        <v>Affy 1.0 ST</v>
      </c>
      <c r="G27" t="str">
        <f>"MGI:1923381"</f>
        <v>MGI:1923381</v>
      </c>
      <c r="H27" t="str">
        <f>"Depdc1a"</f>
        <v>Depdc1a</v>
      </c>
      <c r="I27" t="str">
        <f>"DEP domain containing 1a"</f>
        <v>DEP domain containing 1a</v>
      </c>
      <c r="J27" t="str">
        <f>"protein coding gene"</f>
        <v>protein coding gene</v>
      </c>
    </row>
    <row r="28" spans="1:10">
      <c r="A28">
        <v>10474984</v>
      </c>
      <c r="B28">
        <v>17.460157722977002</v>
      </c>
      <c r="C28">
        <v>16.8474915960192</v>
      </c>
      <c r="E28" t="str">
        <f>"10474984"</f>
        <v>10474984</v>
      </c>
      <c r="F28" t="str">
        <f t="shared" si="0"/>
        <v>Affy 1.0 ST</v>
      </c>
      <c r="G28" t="str">
        <f>"MGI:2675669"</f>
        <v>MGI:2675669</v>
      </c>
      <c r="H28" t="str">
        <f>"Nusap1"</f>
        <v>Nusap1</v>
      </c>
      <c r="I28" t="str">
        <f>"nucleolar and spindle associated protein 1"</f>
        <v>nucleolar and spindle associated protein 1</v>
      </c>
      <c r="J28" t="str">
        <f>"protein coding gene"</f>
        <v>protein coding gene</v>
      </c>
    </row>
    <row r="29" spans="1:10">
      <c r="A29">
        <v>10450374</v>
      </c>
      <c r="B29">
        <v>17.326586231974801</v>
      </c>
      <c r="C29">
        <v>18.222891502046402</v>
      </c>
      <c r="E29" t="str">
        <f>"10450374"</f>
        <v>10450374</v>
      </c>
      <c r="F29" t="str">
        <f t="shared" si="0"/>
        <v>Affy 1.0 ST</v>
      </c>
      <c r="G29" t="str">
        <f>"MGI:1306799"</f>
        <v>MGI:1306799</v>
      </c>
      <c r="H29" t="str">
        <f>"D17H6S56E-5"</f>
        <v>D17H6S56E-5</v>
      </c>
      <c r="I29" t="s">
        <v>2059</v>
      </c>
      <c r="J29" t="s">
        <v>2060</v>
      </c>
    </row>
    <row r="30" spans="1:10">
      <c r="A30">
        <v>10507112</v>
      </c>
      <c r="B30">
        <v>17.217305502276101</v>
      </c>
      <c r="C30">
        <v>16.741893033375099</v>
      </c>
      <c r="E30" t="str">
        <f>"10507112"</f>
        <v>10507112</v>
      </c>
      <c r="F30" t="str">
        <f t="shared" si="0"/>
        <v>Affy 1.0 ST</v>
      </c>
      <c r="G30" t="str">
        <f>"MGI:107477"</f>
        <v>MGI:107477</v>
      </c>
      <c r="H30" t="str">
        <f>"Stil"</f>
        <v>Stil</v>
      </c>
      <c r="I30" t="str">
        <f>"Scl/Tal1 interrupting locus"</f>
        <v>Scl/Tal1 interrupting locus</v>
      </c>
      <c r="J30" t="str">
        <f>"protein coding gene"</f>
        <v>protein coding gene</v>
      </c>
    </row>
    <row r="31" spans="1:10">
      <c r="A31">
        <v>10576883</v>
      </c>
      <c r="B31">
        <v>17.146670734083099</v>
      </c>
      <c r="C31">
        <v>15.273121657814301</v>
      </c>
      <c r="E31" t="str">
        <f>"10576883"</f>
        <v>10576883</v>
      </c>
      <c r="F31" t="str">
        <f t="shared" si="0"/>
        <v>Affy 1.0 ST</v>
      </c>
      <c r="G31" t="str">
        <f>"MGI:1338802"</f>
        <v>MGI:1338802</v>
      </c>
      <c r="H31" t="str">
        <f>"Shcbp1"</f>
        <v>Shcbp1</v>
      </c>
      <c r="I31" t="str">
        <f>"Shc SH2-domain binding protein 1"</f>
        <v>Shc SH2-domain binding protein 1</v>
      </c>
      <c r="J31" t="str">
        <f>"protein coding gene"</f>
        <v>protein coding gene</v>
      </c>
    </row>
    <row r="32" spans="1:10">
      <c r="A32">
        <v>10400589</v>
      </c>
      <c r="B32">
        <v>16.9048335718457</v>
      </c>
      <c r="C32">
        <v>16.201050199718601</v>
      </c>
      <c r="E32" t="str">
        <f>"10400589"</f>
        <v>10400589</v>
      </c>
      <c r="F32" t="str">
        <f t="shared" si="0"/>
        <v>Affy 1.0 ST</v>
      </c>
      <c r="G32" t="str">
        <f>"MGI:2145099"</f>
        <v>MGI:2145099</v>
      </c>
      <c r="H32" t="str">
        <f>"C79407"</f>
        <v>C79407</v>
      </c>
      <c r="I32" t="str">
        <f>"expressed sequence C79407"</f>
        <v>expressed sequence C79407</v>
      </c>
      <c r="J32" t="str">
        <f>"protein coding gene"</f>
        <v>protein coding gene</v>
      </c>
    </row>
    <row r="33" spans="1:10">
      <c r="A33">
        <v>10578690</v>
      </c>
      <c r="B33">
        <v>16.8112108019576</v>
      </c>
      <c r="C33">
        <v>16.242596431915601</v>
      </c>
      <c r="E33" t="str">
        <f>"10578690"</f>
        <v>10578690</v>
      </c>
      <c r="F33" t="str">
        <f t="shared" si="0"/>
        <v>Affy 1.0 ST</v>
      </c>
      <c r="G33" t="str">
        <f>"MGI:2384588"</f>
        <v>MGI:2384588</v>
      </c>
      <c r="H33" t="str">
        <f>"Neil3"</f>
        <v>Neil3</v>
      </c>
      <c r="I33" t="str">
        <f>"nei like 3 (E. coli)"</f>
        <v>nei like 3 (E. coli)</v>
      </c>
      <c r="J33" t="str">
        <f>"protein coding gene"</f>
        <v>protein coding gene</v>
      </c>
    </row>
    <row r="34" spans="1:10">
      <c r="A34">
        <v>10591781</v>
      </c>
      <c r="B34">
        <v>16.761805088898999</v>
      </c>
      <c r="C34">
        <v>16.178355112188999</v>
      </c>
      <c r="E34" t="str">
        <f>"10591781"</f>
        <v>10591781</v>
      </c>
      <c r="F34" t="str">
        <f t="shared" si="0"/>
        <v>Affy 1.0 ST</v>
      </c>
      <c r="G34" t="str">
        <f>"MGI:1920174"</f>
        <v>MGI:1920174</v>
      </c>
      <c r="H34" t="str">
        <f>"Anln"</f>
        <v>Anln</v>
      </c>
      <c r="I34" t="s">
        <v>2112</v>
      </c>
      <c r="J34" t="s">
        <v>2010</v>
      </c>
    </row>
    <row r="35" spans="1:10">
      <c r="A35">
        <v>10515836</v>
      </c>
      <c r="B35">
        <v>16.537887254694599</v>
      </c>
      <c r="C35">
        <v>11.123510027088001</v>
      </c>
      <c r="E35" t="str">
        <f>"10515836"</f>
        <v>10515836</v>
      </c>
      <c r="F35" t="str">
        <f t="shared" si="0"/>
        <v>Affy 1.0 ST</v>
      </c>
      <c r="G35" t="str">
        <f>"MGI:88302"</f>
        <v>MGI:88302</v>
      </c>
      <c r="H35" t="str">
        <f>"Ccnb1"</f>
        <v>Ccnb1</v>
      </c>
      <c r="I35" t="str">
        <f>"cyclin B1"</f>
        <v>cyclin B1</v>
      </c>
      <c r="J35" t="str">
        <f>"protein coding gene"</f>
        <v>protein coding gene</v>
      </c>
    </row>
    <row r="36" spans="1:10">
      <c r="A36">
        <v>10497122</v>
      </c>
      <c r="B36">
        <v>16.3389539042476</v>
      </c>
      <c r="C36">
        <v>12.684161036661401</v>
      </c>
      <c r="E36" t="str">
        <f>"10497122"</f>
        <v>10497122</v>
      </c>
      <c r="F36" t="str">
        <f t="shared" si="0"/>
        <v>Affy 1.0 ST</v>
      </c>
      <c r="G36" t="str">
        <f>"MGI:1923381"</f>
        <v>MGI:1923381</v>
      </c>
      <c r="H36" t="str">
        <f>"Depdc1a"</f>
        <v>Depdc1a</v>
      </c>
      <c r="I36" t="str">
        <f>"DEP domain containing 1a"</f>
        <v>DEP domain containing 1a</v>
      </c>
      <c r="J36" t="str">
        <f>"protein coding gene"</f>
        <v>protein coding gene</v>
      </c>
    </row>
    <row r="37" spans="1:10">
      <c r="A37">
        <v>10448506</v>
      </c>
      <c r="B37">
        <v>16.2344522635366</v>
      </c>
      <c r="C37">
        <v>13.869584710753401</v>
      </c>
      <c r="E37" t="str">
        <f>"10448506"</f>
        <v>10448506</v>
      </c>
      <c r="F37" t="str">
        <f t="shared" si="0"/>
        <v>Affy 1.0 ST</v>
      </c>
      <c r="G37" t="str">
        <f>"MGI:102551"</f>
        <v>MGI:102551</v>
      </c>
      <c r="H37" t="str">
        <f>"Ccnf"</f>
        <v>Ccnf</v>
      </c>
      <c r="I37" t="str">
        <f>"cyclin F"</f>
        <v>cyclin F</v>
      </c>
      <c r="J37" t="str">
        <f>"protein coding gene"</f>
        <v>protein coding gene</v>
      </c>
    </row>
    <row r="38" spans="1:10">
      <c r="A38">
        <v>10496204</v>
      </c>
      <c r="B38">
        <v>15.505586495027901</v>
      </c>
      <c r="C38">
        <v>14.6625710536448</v>
      </c>
      <c r="E38" t="str">
        <f>"10496204"</f>
        <v>10496204</v>
      </c>
      <c r="F38" t="str">
        <f t="shared" si="0"/>
        <v>Affy 1.0 ST</v>
      </c>
      <c r="G38" t="str">
        <f>"MGI:1098230"</f>
        <v>MGI:1098230</v>
      </c>
      <c r="H38" t="str">
        <f>"Cenpe"</f>
        <v>Cenpe</v>
      </c>
      <c r="I38" t="str">
        <f>"centromere protein E"</f>
        <v>centromere protein E</v>
      </c>
      <c r="J38" t="str">
        <f>"protein coding gene"</f>
        <v>protein coding gene</v>
      </c>
    </row>
    <row r="39" spans="1:10">
      <c r="A39">
        <v>10590494</v>
      </c>
      <c r="B39">
        <v>15.4901419697624</v>
      </c>
      <c r="C39">
        <v>15.148673216364299</v>
      </c>
      <c r="E39" t="str">
        <f>"10590494"</f>
        <v>10590494</v>
      </c>
      <c r="F39" t="str">
        <f t="shared" si="0"/>
        <v>Affy 1.0 ST</v>
      </c>
      <c r="G39" t="str">
        <f>"MGI:1098258"</f>
        <v>MGI:1098258</v>
      </c>
      <c r="H39" t="str">
        <f>"Kif15"</f>
        <v>Kif15</v>
      </c>
      <c r="I39" t="str">
        <f>"kinesin family member 15"</f>
        <v>kinesin family member 15</v>
      </c>
      <c r="J39" t="str">
        <f>"protein coding gene"</f>
        <v>protein coding gene</v>
      </c>
    </row>
    <row r="40" spans="1:10">
      <c r="A40">
        <v>10483401</v>
      </c>
      <c r="B40">
        <v>15.128568259631701</v>
      </c>
      <c r="C40">
        <v>15.6519485987896</v>
      </c>
      <c r="E40" t="str">
        <f>"10483401"</f>
        <v>10483401</v>
      </c>
      <c r="F40" t="str">
        <f t="shared" si="0"/>
        <v>Affy 1.0 ST</v>
      </c>
      <c r="G40" t="str">
        <f>"MGI:1913692"</f>
        <v>MGI:1913692</v>
      </c>
      <c r="H40" t="str">
        <f>"Spc25"</f>
        <v>Spc25</v>
      </c>
      <c r="I40" t="s">
        <v>2021</v>
      </c>
      <c r="J40" t="s">
        <v>2010</v>
      </c>
    </row>
    <row r="41" spans="1:10">
      <c r="A41">
        <v>10474381</v>
      </c>
      <c r="B41">
        <v>14.9665838634614</v>
      </c>
      <c r="C41">
        <v>12.636209078087999</v>
      </c>
      <c r="E41" t="str">
        <f>"10474381"</f>
        <v>10474381</v>
      </c>
      <c r="F41" t="str">
        <f t="shared" si="0"/>
        <v>Affy 1.0 ST</v>
      </c>
      <c r="G41" t="str">
        <f>"MGI:2446977"</f>
        <v>MGI:2446977</v>
      </c>
      <c r="H41" t="str">
        <f>"Kif18a"</f>
        <v>Kif18a</v>
      </c>
      <c r="I41" t="str">
        <f>"kinesin family member 18A"</f>
        <v>kinesin family member 18A</v>
      </c>
      <c r="J41" t="str">
        <f t="shared" ref="J41:J52" si="2">"protein coding gene"</f>
        <v>protein coding gene</v>
      </c>
    </row>
    <row r="42" spans="1:10">
      <c r="A42">
        <v>10420426</v>
      </c>
      <c r="B42">
        <v>14.876029807618901</v>
      </c>
      <c r="C42">
        <v>12.9866618077168</v>
      </c>
      <c r="E42" t="str">
        <f>"10420426"</f>
        <v>10420426</v>
      </c>
      <c r="F42" t="str">
        <f t="shared" si="0"/>
        <v>Affy 1.0 ST</v>
      </c>
      <c r="G42" t="str">
        <f>"MGI:3041235"</f>
        <v>MGI:3041235</v>
      </c>
      <c r="H42" t="str">
        <f>"F630043A04Rik"</f>
        <v>F630043A04Rik</v>
      </c>
      <c r="I42" t="str">
        <f>"RIKEN cDNA F630043A04 gene"</f>
        <v>RIKEN cDNA F630043A04 gene</v>
      </c>
      <c r="J42" t="str">
        <f t="shared" si="2"/>
        <v>protein coding gene</v>
      </c>
    </row>
    <row r="43" spans="1:10">
      <c r="A43">
        <v>10515431</v>
      </c>
      <c r="B43">
        <v>14.211715785258701</v>
      </c>
      <c r="C43">
        <v>11.362092616822199</v>
      </c>
      <c r="E43" t="str">
        <f>"10515431"</f>
        <v>10515431</v>
      </c>
      <c r="F43" t="str">
        <f t="shared" si="0"/>
        <v>Affy 1.0 ST</v>
      </c>
      <c r="G43" t="str">
        <f>"MGI:1921054"</f>
        <v>MGI:1921054</v>
      </c>
      <c r="H43" t="str">
        <f>"Kif2c"</f>
        <v>Kif2c</v>
      </c>
      <c r="I43" t="str">
        <f>"kinesin family member 2C"</f>
        <v>kinesin family member 2C</v>
      </c>
      <c r="J43" t="str">
        <f t="shared" si="2"/>
        <v>protein coding gene</v>
      </c>
    </row>
    <row r="44" spans="1:10">
      <c r="A44">
        <v>10352767</v>
      </c>
      <c r="B44">
        <v>14.1392786878223</v>
      </c>
      <c r="C44">
        <v>10.232147335413</v>
      </c>
      <c r="E44" t="str">
        <f>"10352767"</f>
        <v>10352767</v>
      </c>
      <c r="F44" t="str">
        <f t="shared" si="0"/>
        <v>Affy 1.0 ST</v>
      </c>
      <c r="G44" t="str">
        <f>"MGI:109359"</f>
        <v>MGI:109359</v>
      </c>
      <c r="H44" t="str">
        <f>"Nek2"</f>
        <v>Nek2</v>
      </c>
      <c r="I44" t="str">
        <f>"NIMA (never in mitosis gene a)-related expressed kinase 2"</f>
        <v>NIMA (never in mitosis gene a)-related expressed kinase 2</v>
      </c>
      <c r="J44" t="str">
        <f t="shared" si="2"/>
        <v>protein coding gene</v>
      </c>
    </row>
    <row r="45" spans="1:10">
      <c r="A45">
        <v>10497503</v>
      </c>
      <c r="B45">
        <v>13.7590665546683</v>
      </c>
      <c r="C45">
        <v>12.167051786328599</v>
      </c>
      <c r="E45" t="str">
        <f>"10497503"</f>
        <v>10497503</v>
      </c>
      <c r="F45" t="str">
        <f t="shared" si="0"/>
        <v>Affy 1.0 ST</v>
      </c>
      <c r="G45" t="str">
        <f>"MGI:103561"</f>
        <v>MGI:103561</v>
      </c>
      <c r="H45" t="str">
        <f>"Kpna2"</f>
        <v>Kpna2</v>
      </c>
      <c r="I45" t="str">
        <f>"karyopherin (importin) alpha 2"</f>
        <v>karyopherin (importin) alpha 2</v>
      </c>
      <c r="J45" t="str">
        <f t="shared" si="2"/>
        <v>protein coding gene</v>
      </c>
    </row>
    <row r="46" spans="1:10">
      <c r="A46">
        <v>10369815</v>
      </c>
      <c r="B46">
        <v>13.6232457191339</v>
      </c>
      <c r="C46">
        <v>12.371128618190999</v>
      </c>
      <c r="E46" t="str">
        <f>"10369815"</f>
        <v>10369815</v>
      </c>
      <c r="F46" t="str">
        <f t="shared" si="0"/>
        <v>Affy 1.0 ST</v>
      </c>
      <c r="G46" t="str">
        <f>"MGI:88351"</f>
        <v>MGI:88351</v>
      </c>
      <c r="H46" t="str">
        <f>"Cdk1"</f>
        <v>Cdk1</v>
      </c>
      <c r="I46" t="str">
        <f>"cyclin-dependent kinase 1"</f>
        <v>cyclin-dependent kinase 1</v>
      </c>
      <c r="J46" t="str">
        <f t="shared" si="2"/>
        <v>protein coding gene</v>
      </c>
    </row>
    <row r="47" spans="1:10">
      <c r="A47">
        <v>10592201</v>
      </c>
      <c r="B47">
        <v>13.410838449995399</v>
      </c>
      <c r="C47">
        <v>13.597502813147001</v>
      </c>
      <c r="E47" t="str">
        <f>"10592201"</f>
        <v>10592201</v>
      </c>
      <c r="F47" t="str">
        <f t="shared" si="0"/>
        <v>Affy 1.0 ST</v>
      </c>
      <c r="G47" t="str">
        <f>"MGI:1202065"</f>
        <v>MGI:1202065</v>
      </c>
      <c r="H47" t="str">
        <f>"Chek1"</f>
        <v>Chek1</v>
      </c>
      <c r="I47" t="str">
        <f>"checkpoint kinase 1 homolog (S. pombe)"</f>
        <v>checkpoint kinase 1 homolog (S. pombe)</v>
      </c>
      <c r="J47" t="str">
        <f t="shared" si="2"/>
        <v>protein coding gene</v>
      </c>
    </row>
    <row r="48" spans="1:10">
      <c r="A48">
        <v>10474875</v>
      </c>
      <c r="B48">
        <v>13.2647437585973</v>
      </c>
      <c r="C48">
        <v>12.559108044322</v>
      </c>
      <c r="E48" t="str">
        <f>"10474875"</f>
        <v>10474875</v>
      </c>
      <c r="F48" t="str">
        <f t="shared" si="0"/>
        <v>Affy 1.0 ST</v>
      </c>
      <c r="G48" t="str">
        <f>"MGI:1923714"</f>
        <v>MGI:1923714</v>
      </c>
      <c r="H48" t="str">
        <f>"Casc5"</f>
        <v>Casc5</v>
      </c>
      <c r="I48" t="str">
        <f>"cancer susceptibility candidate 5"</f>
        <v>cancer susceptibility candidate 5</v>
      </c>
      <c r="J48" t="str">
        <f t="shared" si="2"/>
        <v>protein coding gene</v>
      </c>
    </row>
    <row r="49" spans="1:10">
      <c r="A49">
        <v>10391811</v>
      </c>
      <c r="B49">
        <v>13.2208381965646</v>
      </c>
      <c r="C49">
        <v>10.078816238867599</v>
      </c>
      <c r="E49" t="str">
        <f>"10391811"</f>
        <v>10391811</v>
      </c>
      <c r="F49" t="str">
        <f t="shared" si="0"/>
        <v>Affy 1.0 ST</v>
      </c>
      <c r="G49" t="str">
        <f>"MGI:2446979"</f>
        <v>MGI:2446979</v>
      </c>
      <c r="H49" t="str">
        <f>"Kif18b"</f>
        <v>Kif18b</v>
      </c>
      <c r="I49" t="str">
        <f>"kinesin family member 18B"</f>
        <v>kinesin family member 18B</v>
      </c>
      <c r="J49" t="str">
        <f t="shared" si="2"/>
        <v>protein coding gene</v>
      </c>
    </row>
    <row r="50" spans="1:10">
      <c r="A50">
        <v>10525591</v>
      </c>
      <c r="B50">
        <v>12.981347179416799</v>
      </c>
      <c r="C50">
        <v>11.916394785802799</v>
      </c>
      <c r="E50" t="str">
        <f>"10525591"</f>
        <v>10525591</v>
      </c>
      <c r="F50" t="str">
        <f t="shared" si="0"/>
        <v>Affy 1.0 ST</v>
      </c>
      <c r="G50" t="str">
        <f>"MGI:2673709"</f>
        <v>MGI:2673709</v>
      </c>
      <c r="H50" t="str">
        <f>"Kntc1"</f>
        <v>Kntc1</v>
      </c>
      <c r="I50" t="str">
        <f>"kinetochore associated 1"</f>
        <v>kinetochore associated 1</v>
      </c>
      <c r="J50" t="str">
        <f t="shared" si="2"/>
        <v>protein coding gene</v>
      </c>
    </row>
    <row r="51" spans="1:10">
      <c r="A51">
        <v>10346365</v>
      </c>
      <c r="B51">
        <v>12.9008131739938</v>
      </c>
      <c r="C51">
        <v>10.55260984517</v>
      </c>
      <c r="E51" t="str">
        <f>"10346365"</f>
        <v>10346365</v>
      </c>
      <c r="F51" t="str">
        <f t="shared" si="0"/>
        <v>Affy 1.0 ST</v>
      </c>
      <c r="G51" t="str">
        <f>"MGI:1098767"</f>
        <v>MGI:1098767</v>
      </c>
      <c r="H51" t="str">
        <f>"Sgol2"</f>
        <v>Sgol2</v>
      </c>
      <c r="I51" t="str">
        <f>"shugoshin-like 2 (S. pombe)"</f>
        <v>shugoshin-like 2 (S. pombe)</v>
      </c>
      <c r="J51" t="str">
        <f t="shared" si="2"/>
        <v>protein coding gene</v>
      </c>
    </row>
    <row r="52" spans="1:10">
      <c r="A52">
        <v>10360985</v>
      </c>
      <c r="B52">
        <v>12.7800029775153</v>
      </c>
      <c r="C52">
        <v>11.530137187968</v>
      </c>
      <c r="E52" t="str">
        <f>"10360985"</f>
        <v>10360985</v>
      </c>
      <c r="F52" t="str">
        <f t="shared" si="0"/>
        <v>Affy 1.0 ST</v>
      </c>
      <c r="G52" t="str">
        <f>"MGI:1313302"</f>
        <v>MGI:1313302</v>
      </c>
      <c r="H52" t="str">
        <f>"Cenpf"</f>
        <v>Cenpf</v>
      </c>
      <c r="I52" t="str">
        <f>"centromere protein F"</f>
        <v>centromere protein F</v>
      </c>
      <c r="J52" t="str">
        <f t="shared" si="2"/>
        <v>protein coding gene</v>
      </c>
    </row>
    <row r="53" spans="1:10">
      <c r="A53">
        <v>10524169</v>
      </c>
      <c r="B53">
        <v>12.6006139404394</v>
      </c>
      <c r="C53">
        <v>12.772604411357101</v>
      </c>
      <c r="E53" t="str">
        <f>"10524169"</f>
        <v>10524169</v>
      </c>
      <c r="F53" t="str">
        <f t="shared" si="0"/>
        <v>Affy 1.0 ST</v>
      </c>
      <c r="G53" t="str">
        <f>"MGI:1196391"</f>
        <v>MGI:1196391</v>
      </c>
      <c r="H53" t="str">
        <f>"Pole"</f>
        <v>Pole</v>
      </c>
      <c r="I53" t="s">
        <v>2083</v>
      </c>
      <c r="J53" t="s">
        <v>2010</v>
      </c>
    </row>
    <row r="54" spans="1:10">
      <c r="A54">
        <v>10557156</v>
      </c>
      <c r="B54">
        <v>12.506495993325499</v>
      </c>
      <c r="C54">
        <v>9.7584069352320206</v>
      </c>
      <c r="E54" t="str">
        <f>"10557156"</f>
        <v>10557156</v>
      </c>
      <c r="F54" t="str">
        <f t="shared" si="0"/>
        <v>Affy 1.0 ST</v>
      </c>
      <c r="G54" t="str">
        <f>"MGI:97621"</f>
        <v>MGI:97621</v>
      </c>
      <c r="H54" t="str">
        <f>"Plk1"</f>
        <v>Plk1</v>
      </c>
      <c r="I54" t="str">
        <f>"polo-like kinase 1 (Drosophila)"</f>
        <v>polo-like kinase 1 (Drosophila)</v>
      </c>
      <c r="J54" t="str">
        <f t="shared" ref="J54:J59" si="3">"protein coding gene"</f>
        <v>protein coding gene</v>
      </c>
    </row>
    <row r="55" spans="1:10">
      <c r="A55">
        <v>10480432</v>
      </c>
      <c r="B55">
        <v>12.430749898340499</v>
      </c>
      <c r="C55">
        <v>9.8263413651957805</v>
      </c>
      <c r="E55" t="str">
        <f>"10480432"</f>
        <v>10480432</v>
      </c>
      <c r="F55" t="str">
        <f t="shared" si="0"/>
        <v>Affy 1.0 ST</v>
      </c>
      <c r="G55" t="str">
        <f>"MGI:1914371"</f>
        <v>MGI:1914371</v>
      </c>
      <c r="H55" t="str">
        <f>"Mastl"</f>
        <v>Mastl</v>
      </c>
      <c r="I55" t="str">
        <f>"microtubule associated serine/threonine kinase-like"</f>
        <v>microtubule associated serine/threonine kinase-like</v>
      </c>
      <c r="J55" t="str">
        <f t="shared" si="3"/>
        <v>protein coding gene</v>
      </c>
    </row>
    <row r="56" spans="1:10">
      <c r="A56">
        <v>10554325</v>
      </c>
      <c r="B56">
        <v>12.417463902648899</v>
      </c>
      <c r="C56">
        <v>10.5897244034916</v>
      </c>
      <c r="E56" t="str">
        <f>"10554325"</f>
        <v>10554325</v>
      </c>
      <c r="F56" t="str">
        <f t="shared" si="0"/>
        <v>Affy 1.0 ST</v>
      </c>
      <c r="G56" t="str">
        <f>"MGI:1924261"</f>
        <v>MGI:1924261</v>
      </c>
      <c r="H56" t="str">
        <f>"5730590G19Rik"</f>
        <v>5730590G19Rik</v>
      </c>
      <c r="I56" t="str">
        <f>"RIKEN cDNA 5730590G19 gene"</f>
        <v>RIKEN cDNA 5730590G19 gene</v>
      </c>
      <c r="J56" t="str">
        <f t="shared" si="3"/>
        <v>protein coding gene</v>
      </c>
    </row>
    <row r="57" spans="1:10">
      <c r="A57">
        <v>10436106</v>
      </c>
      <c r="B57">
        <v>12.2801759567697</v>
      </c>
      <c r="C57">
        <v>10.344048342293499</v>
      </c>
      <c r="E57" t="str">
        <f>"10436106"</f>
        <v>10436106</v>
      </c>
      <c r="F57" t="str">
        <f t="shared" si="0"/>
        <v>Affy 1.0 ST</v>
      </c>
      <c r="G57" t="str">
        <f>"MGI:2146335"</f>
        <v>MGI:2146335</v>
      </c>
      <c r="H57" t="str">
        <f>"C330027C09Rik"</f>
        <v>C330027C09Rik</v>
      </c>
      <c r="I57" t="str">
        <f>"RIKEN cDNA C330027C09 gene"</f>
        <v>RIKEN cDNA C330027C09 gene</v>
      </c>
      <c r="J57" t="str">
        <f t="shared" si="3"/>
        <v>protein coding gene</v>
      </c>
    </row>
    <row r="58" spans="1:10">
      <c r="A58">
        <v>10350838</v>
      </c>
      <c r="B58">
        <v>11.9071326789733</v>
      </c>
      <c r="C58">
        <v>10.815546184811</v>
      </c>
      <c r="E58" t="str">
        <f>"10350838"</f>
        <v>10350838</v>
      </c>
      <c r="F58" t="str">
        <f t="shared" si="0"/>
        <v>Affy 1.0 ST</v>
      </c>
      <c r="G58" t="str">
        <f>"MGI:1915276"</f>
        <v>MGI:1915276</v>
      </c>
      <c r="H58" t="str">
        <f>"2810417H13Rik"</f>
        <v>2810417H13Rik</v>
      </c>
      <c r="I58" t="str">
        <f>"RIKEN cDNA 2810417H13 gene"</f>
        <v>RIKEN cDNA 2810417H13 gene</v>
      </c>
      <c r="J58" t="str">
        <f t="shared" si="3"/>
        <v>protein coding gene</v>
      </c>
    </row>
    <row r="59" spans="1:10">
      <c r="A59">
        <v>10601705</v>
      </c>
      <c r="B59">
        <v>11.793526181931</v>
      </c>
      <c r="C59">
        <v>10.182574473036899</v>
      </c>
      <c r="E59" t="str">
        <f>"10601705"</f>
        <v>10601705</v>
      </c>
      <c r="F59" t="str">
        <f t="shared" si="0"/>
        <v>Affy 1.0 ST</v>
      </c>
      <c r="G59" t="str">
        <f>"MGI:2147897"</f>
        <v>MGI:2147897</v>
      </c>
      <c r="H59" t="str">
        <f>"Cenpi"</f>
        <v>Cenpi</v>
      </c>
      <c r="I59" t="str">
        <f>"centromere protein I"</f>
        <v>centromere protein I</v>
      </c>
      <c r="J59" t="str">
        <f t="shared" si="3"/>
        <v>protein coding gene</v>
      </c>
    </row>
    <row r="60" spans="1:10">
      <c r="A60">
        <v>10404061</v>
      </c>
      <c r="B60">
        <v>11.6956082867815</v>
      </c>
      <c r="C60">
        <v>10.0239451994133</v>
      </c>
      <c r="E60" t="str">
        <f>"10404061"</f>
        <v>10404061</v>
      </c>
      <c r="F60" t="str">
        <f t="shared" si="0"/>
        <v>Affy 1.0 ST</v>
      </c>
      <c r="G60" t="str">
        <f>"MGI:2448377"</f>
        <v>MGI:2448377</v>
      </c>
      <c r="H60" t="str">
        <f>"Hist1h2bb"</f>
        <v>Hist1h2bb</v>
      </c>
      <c r="I60" t="s">
        <v>2108</v>
      </c>
      <c r="J60" t="s">
        <v>2010</v>
      </c>
    </row>
    <row r="61" spans="1:10">
      <c r="A61">
        <v>10416037</v>
      </c>
      <c r="B61">
        <v>11.5256066447633</v>
      </c>
      <c r="C61">
        <v>10.389755075531401</v>
      </c>
      <c r="E61" t="str">
        <f>"10416037"</f>
        <v>10416037</v>
      </c>
      <c r="F61" t="str">
        <f t="shared" si="0"/>
        <v>Affy 1.0 ST</v>
      </c>
      <c r="G61" t="str">
        <f>"MGI:1289156"</f>
        <v>MGI:1289156</v>
      </c>
      <c r="H61" t="str">
        <f>"Pbk"</f>
        <v>Pbk</v>
      </c>
      <c r="I61" t="str">
        <f>"PDZ binding kinase"</f>
        <v>PDZ binding kinase</v>
      </c>
      <c r="J61" t="str">
        <f>"protein coding gene"</f>
        <v>protein coding gene</v>
      </c>
    </row>
    <row r="62" spans="1:10">
      <c r="A62">
        <v>10454709</v>
      </c>
      <c r="B62">
        <v>11.4679645624882</v>
      </c>
      <c r="C62">
        <v>9.1831256933247598</v>
      </c>
      <c r="E62" t="str">
        <f>"10454709"</f>
        <v>10454709</v>
      </c>
      <c r="F62" t="str">
        <f t="shared" si="0"/>
        <v>Affy 1.0 ST</v>
      </c>
      <c r="G62" t="str">
        <f>"MGI:1201682"</f>
        <v>MGI:1201682</v>
      </c>
      <c r="H62" t="str">
        <f>"Kif20a"</f>
        <v>Kif20a</v>
      </c>
      <c r="I62" t="str">
        <f>"kinesin family member 20A"</f>
        <v>kinesin family member 20A</v>
      </c>
      <c r="J62" t="str">
        <f>"protein coding gene"</f>
        <v>protein coding gene</v>
      </c>
    </row>
    <row r="63" spans="1:10">
      <c r="A63">
        <v>10421029</v>
      </c>
      <c r="B63">
        <v>11.3501649122227</v>
      </c>
      <c r="C63">
        <v>10.2844561199125</v>
      </c>
      <c r="E63" t="str">
        <f>"10421029"</f>
        <v>10421029</v>
      </c>
      <c r="F63" t="str">
        <f t="shared" si="0"/>
        <v>Affy 1.0 ST</v>
      </c>
      <c r="G63" t="str">
        <f>"MGI:1919787"</f>
        <v>MGI:1919787</v>
      </c>
      <c r="H63" t="str">
        <f>"Cdca2"</f>
        <v>Cdca2</v>
      </c>
      <c r="I63" t="str">
        <f>"cell division cycle associated 2"</f>
        <v>cell division cycle associated 2</v>
      </c>
      <c r="J63" t="str">
        <f>"protein coding gene"</f>
        <v>protein coding gene</v>
      </c>
    </row>
    <row r="64" spans="1:10">
      <c r="A64">
        <v>10477187</v>
      </c>
      <c r="B64">
        <v>11.327872840268199</v>
      </c>
      <c r="C64">
        <v>9.6906441953117994</v>
      </c>
      <c r="E64" t="str">
        <f>"10477187"</f>
        <v>10477187</v>
      </c>
      <c r="F64" t="str">
        <f t="shared" si="0"/>
        <v>Affy 1.0 ST</v>
      </c>
      <c r="G64" t="str">
        <f>"MGI:1919369"</f>
        <v>MGI:1919369</v>
      </c>
      <c r="H64" t="str">
        <f>"Tpx2"</f>
        <v>Tpx2</v>
      </c>
      <c r="I64" t="s">
        <v>2011</v>
      </c>
      <c r="J64" t="s">
        <v>2010</v>
      </c>
    </row>
    <row r="65" spans="1:10">
      <c r="A65">
        <v>10460738</v>
      </c>
      <c r="B65">
        <v>11.306861965802799</v>
      </c>
      <c r="C65">
        <v>9.4212521356147292</v>
      </c>
      <c r="E65" t="str">
        <f>"10460738"</f>
        <v>10460738</v>
      </c>
      <c r="F65" t="str">
        <f t="shared" si="0"/>
        <v>Affy 1.0 ST</v>
      </c>
      <c r="G65" t="str">
        <f>"MGI:1915099"</f>
        <v>MGI:1915099</v>
      </c>
      <c r="H65" t="str">
        <f>"Cdca5"</f>
        <v>Cdca5</v>
      </c>
      <c r="I65" t="str">
        <f>"cell division cycle associated 5"</f>
        <v>cell division cycle associated 5</v>
      </c>
      <c r="J65" t="str">
        <f>"protein coding gene"</f>
        <v>protein coding gene</v>
      </c>
    </row>
    <row r="66" spans="1:10">
      <c r="A66">
        <v>10587508</v>
      </c>
      <c r="B66">
        <v>11.2953353584778</v>
      </c>
      <c r="C66">
        <v>9.3994018980746592</v>
      </c>
      <c r="E66" t="str">
        <f>"10587508"</f>
        <v>10587508</v>
      </c>
      <c r="F66" t="str">
        <f t="shared" si="0"/>
        <v>Affy 1.0 ST</v>
      </c>
      <c r="G66" t="str">
        <f>"MGI:1194921"</f>
        <v>MGI:1194921</v>
      </c>
      <c r="H66" t="str">
        <f>"Ttk"</f>
        <v>Ttk</v>
      </c>
      <c r="I66" t="str">
        <f>"Ttk protein kinase"</f>
        <v>Ttk protein kinase</v>
      </c>
      <c r="J66" t="str">
        <f>"protein coding gene"</f>
        <v>protein coding gene</v>
      </c>
    </row>
    <row r="67" spans="1:10">
      <c r="A67">
        <v>10474769</v>
      </c>
      <c r="B67">
        <v>11.2758909960144</v>
      </c>
      <c r="C67">
        <v>8.7364648816012291</v>
      </c>
      <c r="E67" t="str">
        <f>"10474769"</f>
        <v>10474769</v>
      </c>
      <c r="F67" t="str">
        <f t="shared" si="0"/>
        <v>Affy 1.0 ST</v>
      </c>
      <c r="G67" t="str">
        <f>"MGI:1333889"</f>
        <v>MGI:1333889</v>
      </c>
      <c r="H67" t="str">
        <f>"Bub1b"</f>
        <v>Bub1b</v>
      </c>
      <c r="I67" t="s">
        <v>2013</v>
      </c>
      <c r="J67" t="s">
        <v>2010</v>
      </c>
    </row>
    <row r="68" spans="1:10">
      <c r="A68">
        <v>10467637</v>
      </c>
      <c r="B68">
        <v>11.218057079279999</v>
      </c>
      <c r="C68">
        <v>7.7218972105828003</v>
      </c>
      <c r="E68" t="str">
        <f>"10467637"</f>
        <v>10467637</v>
      </c>
      <c r="F68" t="str">
        <f t="shared" si="0"/>
        <v>Affy 1.0 ST</v>
      </c>
      <c r="G68" t="str">
        <f>"MGI:1918335"</f>
        <v>MGI:1918335</v>
      </c>
      <c r="H68" t="str">
        <f>"Arhgap19"</f>
        <v>Arhgap19</v>
      </c>
      <c r="I68" t="str">
        <f>"Rho GTPase activating protein 19"</f>
        <v>Rho GTPase activating protein 19</v>
      </c>
      <c r="J68" t="str">
        <f>"protein coding gene"</f>
        <v>protein coding gene</v>
      </c>
    </row>
    <row r="69" spans="1:10">
      <c r="A69">
        <v>10452709</v>
      </c>
      <c r="B69">
        <v>11.0927084335383</v>
      </c>
      <c r="C69">
        <v>9.0231819801603308</v>
      </c>
      <c r="E69" t="str">
        <f>"10452709"</f>
        <v>10452709</v>
      </c>
      <c r="F69" t="str">
        <f t="shared" si="0"/>
        <v>Affy 1.0 ST</v>
      </c>
      <c r="G69" t="str">
        <f>"MGI:1914302"</f>
        <v>MGI:1914302</v>
      </c>
      <c r="H69" t="str">
        <f>"Ndc80"</f>
        <v>Ndc80</v>
      </c>
      <c r="I69" t="s">
        <v>2053</v>
      </c>
      <c r="J69" t="s">
        <v>2010</v>
      </c>
    </row>
    <row r="70" spans="1:10">
      <c r="A70">
        <v>10379127</v>
      </c>
      <c r="B70">
        <v>11.031712365225401</v>
      </c>
      <c r="C70">
        <v>8.4168235352983594</v>
      </c>
      <c r="E70" t="str">
        <f>"10379127"</f>
        <v>10379127</v>
      </c>
      <c r="F70" t="str">
        <f t="shared" ref="F70:F128" si="4">"Affy 1.0 ST"</f>
        <v>Affy 1.0 ST</v>
      </c>
      <c r="G70" t="str">
        <f>"MGI:1927470"</f>
        <v>MGI:1927470</v>
      </c>
      <c r="H70" t="str">
        <f>"Spag5"</f>
        <v>Spag5</v>
      </c>
      <c r="I70" t="str">
        <f>"sperm associated antigen 5"</f>
        <v>sperm associated antigen 5</v>
      </c>
      <c r="J70" t="str">
        <f t="shared" ref="J70:J75" si="5">"protein coding gene"</f>
        <v>protein coding gene</v>
      </c>
    </row>
    <row r="71" spans="1:10">
      <c r="A71">
        <v>10458195</v>
      </c>
      <c r="B71">
        <v>10.9296766372745</v>
      </c>
      <c r="C71">
        <v>8.1644736157143196</v>
      </c>
      <c r="E71" t="str">
        <f>"10458195"</f>
        <v>10458195</v>
      </c>
      <c r="F71" t="str">
        <f t="shared" si="4"/>
        <v>Affy 1.0 ST</v>
      </c>
      <c r="G71" t="str">
        <f>"MGI:88350"</f>
        <v>MGI:88350</v>
      </c>
      <c r="H71" t="str">
        <f>"Cdc25c"</f>
        <v>Cdc25c</v>
      </c>
      <c r="I71" t="str">
        <f>"cell division cycle 25 homolog C (S. pombe)"</f>
        <v>cell division cycle 25 homolog C (S. pombe)</v>
      </c>
      <c r="J71" t="str">
        <f t="shared" si="5"/>
        <v>protein coding gene</v>
      </c>
    </row>
    <row r="72" spans="1:10">
      <c r="A72">
        <v>10487577</v>
      </c>
      <c r="B72">
        <v>10.878847963660199</v>
      </c>
      <c r="C72">
        <v>8.7523720590249994</v>
      </c>
      <c r="E72" t="str">
        <f>"10487577"</f>
        <v>10487577</v>
      </c>
      <c r="F72" t="str">
        <f t="shared" si="4"/>
        <v>Affy 1.0 ST</v>
      </c>
      <c r="G72" t="str">
        <f>"MGI:1917716"</f>
        <v>MGI:1917716</v>
      </c>
      <c r="H72" t="str">
        <f>"Ckap2l"</f>
        <v>Ckap2l</v>
      </c>
      <c r="I72" t="str">
        <f>"cytoskeleton associated protein 2-like"</f>
        <v>cytoskeleton associated protein 2-like</v>
      </c>
      <c r="J72" t="str">
        <f t="shared" si="5"/>
        <v>protein coding gene</v>
      </c>
    </row>
    <row r="73" spans="1:10">
      <c r="A73">
        <v>10350297</v>
      </c>
      <c r="B73">
        <v>10.7337113206995</v>
      </c>
      <c r="C73">
        <v>8.4290154641095807</v>
      </c>
      <c r="E73" t="str">
        <f>"10350297"</f>
        <v>10350297</v>
      </c>
      <c r="F73" t="str">
        <f t="shared" si="4"/>
        <v>Affy 1.0 ST</v>
      </c>
      <c r="G73" t="str">
        <f>"MGI:1098226"</f>
        <v>MGI:1098226</v>
      </c>
      <c r="H73" t="str">
        <f>"Kif14"</f>
        <v>Kif14</v>
      </c>
      <c r="I73" t="str">
        <f>"kinesin family member 14"</f>
        <v>kinesin family member 14</v>
      </c>
      <c r="J73" t="str">
        <f t="shared" si="5"/>
        <v>protein coding gene</v>
      </c>
    </row>
    <row r="74" spans="1:10">
      <c r="A74">
        <v>10451805</v>
      </c>
      <c r="B74">
        <v>10.610179641893399</v>
      </c>
      <c r="C74">
        <v>8.4534924374133809</v>
      </c>
      <c r="E74" t="str">
        <f>"10451805"</f>
        <v>10451805</v>
      </c>
      <c r="F74" t="str">
        <f t="shared" si="4"/>
        <v>Affy 1.0 ST</v>
      </c>
      <c r="G74" t="str">
        <f>"MGI:1919665"</f>
        <v>MGI:1919665</v>
      </c>
      <c r="H74" t="str">
        <f>"Sgol1"</f>
        <v>Sgol1</v>
      </c>
      <c r="I74" t="str">
        <f>"shugoshin-like 1 (S. pombe)"</f>
        <v>shugoshin-like 1 (S. pombe)</v>
      </c>
      <c r="J74" t="str">
        <f t="shared" si="5"/>
        <v>protein coding gene</v>
      </c>
    </row>
    <row r="75" spans="1:10">
      <c r="A75">
        <v>10518350</v>
      </c>
      <c r="B75">
        <v>10.4591030894921</v>
      </c>
      <c r="C75">
        <v>8.2859054250668205</v>
      </c>
      <c r="E75" t="str">
        <f>"10518350"</f>
        <v>10518350</v>
      </c>
      <c r="F75" t="str">
        <f t="shared" si="4"/>
        <v>Affy 1.0 ST</v>
      </c>
      <c r="G75" t="str">
        <f>"MGI:96157"</f>
        <v>MGI:96157</v>
      </c>
      <c r="H75" t="str">
        <f>"Hmgb2"</f>
        <v>Hmgb2</v>
      </c>
      <c r="I75" t="str">
        <f>"high mobility group box 2"</f>
        <v>high mobility group box 2</v>
      </c>
      <c r="J75" t="str">
        <f t="shared" si="5"/>
        <v>protein coding gene</v>
      </c>
    </row>
    <row r="76" spans="1:10">
      <c r="A76">
        <v>10367076</v>
      </c>
      <c r="B76">
        <v>10.379645910260599</v>
      </c>
      <c r="C76">
        <v>9.6682917984771493</v>
      </c>
      <c r="E76" t="str">
        <f>"10367076"</f>
        <v>10367076</v>
      </c>
      <c r="F76" t="str">
        <f t="shared" si="4"/>
        <v>Affy 1.0 ST</v>
      </c>
      <c r="G76" t="str">
        <f>"MGI:97757"</f>
        <v>MGI:97757</v>
      </c>
      <c r="H76" t="str">
        <f>"Prim1"</f>
        <v>Prim1</v>
      </c>
      <c r="I76" t="s">
        <v>2026</v>
      </c>
      <c r="J76" t="s">
        <v>2010</v>
      </c>
    </row>
    <row r="77" spans="1:10">
      <c r="A77">
        <v>10568461</v>
      </c>
      <c r="B77">
        <v>10.364158097432799</v>
      </c>
      <c r="C77">
        <v>8.0359681091928206</v>
      </c>
      <c r="E77" t="str">
        <f>"10568461"</f>
        <v>10568461</v>
      </c>
      <c r="F77" t="str">
        <f t="shared" si="4"/>
        <v>Affy 1.0 ST</v>
      </c>
      <c r="G77" t="str">
        <f>"MGI:2384584"</f>
        <v>MGI:2384584</v>
      </c>
      <c r="H77" t="str">
        <f>"Rfwd3"</f>
        <v>Rfwd3</v>
      </c>
      <c r="I77" t="str">
        <f>"ring finger and WD repeat domain 3"</f>
        <v>ring finger and WD repeat domain 3</v>
      </c>
      <c r="J77" t="str">
        <f>"protein coding gene"</f>
        <v>protein coding gene</v>
      </c>
    </row>
    <row r="78" spans="1:10">
      <c r="A78">
        <v>10361375</v>
      </c>
      <c r="B78">
        <v>10.2850723114489</v>
      </c>
      <c r="C78">
        <v>7.6946717703716097</v>
      </c>
      <c r="E78" t="str">
        <f>"10361375"</f>
        <v>10361375</v>
      </c>
      <c r="F78" t="str">
        <f t="shared" si="4"/>
        <v>Affy 1.0 ST</v>
      </c>
      <c r="G78" t="str">
        <f>"MGI:1914391"</f>
        <v>MGI:1914391</v>
      </c>
      <c r="H78" t="str">
        <f>"Fbxo5"</f>
        <v>Fbxo5</v>
      </c>
      <c r="I78" t="str">
        <f>"F-box protein 5"</f>
        <v>F-box protein 5</v>
      </c>
      <c r="J78" t="str">
        <f>"protein coding gene"</f>
        <v>protein coding gene</v>
      </c>
    </row>
    <row r="79" spans="1:10">
      <c r="A79">
        <v>10521090</v>
      </c>
      <c r="B79">
        <v>10.2339087284707</v>
      </c>
      <c r="C79">
        <v>8.6132146589899197</v>
      </c>
      <c r="E79" t="str">
        <f>"10521090"</f>
        <v>10521090</v>
      </c>
      <c r="F79" t="str">
        <f t="shared" si="4"/>
        <v>Affy 1.0 ST</v>
      </c>
      <c r="G79" t="str">
        <f>"MGI:1341163"</f>
        <v>MGI:1341163</v>
      </c>
      <c r="H79" t="str">
        <f>"Tacc3"</f>
        <v>Tacc3</v>
      </c>
      <c r="I79" t="s">
        <v>2025</v>
      </c>
      <c r="J79" t="s">
        <v>2010</v>
      </c>
    </row>
    <row r="80" spans="1:10">
      <c r="A80">
        <v>10406968</v>
      </c>
      <c r="B80">
        <v>10.231723862640401</v>
      </c>
      <c r="C80">
        <v>9.0920700975930906</v>
      </c>
      <c r="E80" t="str">
        <f>"10406968"</f>
        <v>10406968</v>
      </c>
      <c r="F80" t="str">
        <f t="shared" si="4"/>
        <v>Affy 1.0 ST</v>
      </c>
      <c r="G80" t="str">
        <f>"MGI:1926210"</f>
        <v>MGI:1926210</v>
      </c>
      <c r="H80" t="str">
        <f>"Cenpk"</f>
        <v>Cenpk</v>
      </c>
      <c r="I80" t="str">
        <f>"centromere protein K"</f>
        <v>centromere protein K</v>
      </c>
      <c r="J80" t="str">
        <f>"protein coding gene"</f>
        <v>protein coding gene</v>
      </c>
    </row>
    <row r="81" spans="1:10">
      <c r="A81">
        <v>10371591</v>
      </c>
      <c r="B81">
        <v>10.2246300177504</v>
      </c>
      <c r="C81">
        <v>7.3597631632215803</v>
      </c>
      <c r="E81" t="str">
        <f>"10371591"</f>
        <v>10371591</v>
      </c>
      <c r="F81" t="str">
        <f t="shared" si="4"/>
        <v>Affy 1.0 ST</v>
      </c>
      <c r="G81" t="str">
        <f>"MGI:1922567"</f>
        <v>MGI:1922567</v>
      </c>
      <c r="H81" t="str">
        <f>"4930547N16Rik"</f>
        <v>4930547N16Rik</v>
      </c>
      <c r="I81" t="str">
        <f>"RIKEN cDNA 4930547N16 gene"</f>
        <v>RIKEN cDNA 4930547N16 gene</v>
      </c>
      <c r="J81" t="str">
        <f>"protein coding gene"</f>
        <v>protein coding gene</v>
      </c>
    </row>
    <row r="82" spans="1:10">
      <c r="A82">
        <v>10462632</v>
      </c>
      <c r="B82">
        <v>10.1999534266157</v>
      </c>
      <c r="C82">
        <v>8.7671374955018493</v>
      </c>
      <c r="E82" t="str">
        <f>"10462632"</f>
        <v>10462632</v>
      </c>
      <c r="F82" t="str">
        <f t="shared" si="4"/>
        <v>Affy 1.0 ST</v>
      </c>
      <c r="G82" t="str">
        <f>"MGI:2444576"</f>
        <v>MGI:2444576</v>
      </c>
      <c r="H82" t="str">
        <f>"Kif20b"</f>
        <v>Kif20b</v>
      </c>
      <c r="I82" t="str">
        <f>"kinesin family member 20B"</f>
        <v>kinesin family member 20B</v>
      </c>
      <c r="J82" t="str">
        <f>"protein coding gene"</f>
        <v>protein coding gene</v>
      </c>
    </row>
    <row r="83" spans="1:10">
      <c r="A83">
        <v>10419323</v>
      </c>
      <c r="B83">
        <v>9.9432084309186397</v>
      </c>
      <c r="C83">
        <v>7.40774797068556</v>
      </c>
      <c r="E83" t="str">
        <f>"10419323"</f>
        <v>10419323</v>
      </c>
      <c r="F83" t="str">
        <f t="shared" si="4"/>
        <v>Affy 1.0 ST</v>
      </c>
      <c r="G83" t="str">
        <f>"MGI:2183453"</f>
        <v>MGI:2183453</v>
      </c>
      <c r="H83" t="str">
        <f>"Dlgap5"</f>
        <v>Dlgap5</v>
      </c>
      <c r="I83" t="s">
        <v>2022</v>
      </c>
      <c r="J83" t="s">
        <v>2010</v>
      </c>
    </row>
    <row r="84" spans="1:10">
      <c r="A84">
        <v>10605674</v>
      </c>
      <c r="B84">
        <v>9.9206294000827704</v>
      </c>
      <c r="C84">
        <v>9.4162174759603392</v>
      </c>
      <c r="E84" t="str">
        <f>"10605674"</f>
        <v>10605674</v>
      </c>
      <c r="F84" t="str">
        <f t="shared" si="4"/>
        <v>Affy 1.0 ST</v>
      </c>
      <c r="G84" t="str">
        <f>"MGI:99660"</f>
        <v>MGI:99660</v>
      </c>
      <c r="H84" t="str">
        <f>"Pola1"</f>
        <v>Pola1</v>
      </c>
      <c r="I84" t="s">
        <v>2086</v>
      </c>
      <c r="J84" t="s">
        <v>2010</v>
      </c>
    </row>
    <row r="85" spans="1:10">
      <c r="A85">
        <v>10540738</v>
      </c>
      <c r="B85">
        <v>9.8229291600870194</v>
      </c>
      <c r="C85">
        <v>8.1037400590019395</v>
      </c>
      <c r="E85" t="str">
        <f>"10540738"</f>
        <v>10540738</v>
      </c>
      <c r="F85" t="str">
        <f t="shared" si="4"/>
        <v>Affy 1.0 ST</v>
      </c>
      <c r="G85" t="str">
        <f>"MGI:2448480"</f>
        <v>MGI:2448480</v>
      </c>
      <c r="H85" t="str">
        <f>"Fancd2"</f>
        <v>Fancd2</v>
      </c>
      <c r="I85" t="s">
        <v>2158</v>
      </c>
      <c r="J85" t="s">
        <v>2010</v>
      </c>
    </row>
    <row r="86" spans="1:10">
      <c r="A86">
        <v>10453512</v>
      </c>
      <c r="B86">
        <v>9.7660642663347002</v>
      </c>
      <c r="C86">
        <v>7.0617668154607003</v>
      </c>
      <c r="E86" t="str">
        <f>"10453512"</f>
        <v>10453512</v>
      </c>
      <c r="F86" t="str">
        <f t="shared" si="4"/>
        <v>Affy 1.0 ST</v>
      </c>
      <c r="G86" t="str">
        <f>"MGI:103561"</f>
        <v>MGI:103561</v>
      </c>
      <c r="H86" t="str">
        <f>"Kpna2"</f>
        <v>Kpna2</v>
      </c>
      <c r="I86" t="str">
        <f>"karyopherin (importin) alpha 2"</f>
        <v>karyopherin (importin) alpha 2</v>
      </c>
      <c r="J86" t="str">
        <f t="shared" ref="J86:J95" si="6">"protein coding gene"</f>
        <v>protein coding gene</v>
      </c>
    </row>
    <row r="87" spans="1:10">
      <c r="A87">
        <v>10573261</v>
      </c>
      <c r="B87">
        <v>9.7478725664174206</v>
      </c>
      <c r="C87">
        <v>7.3914150061254302</v>
      </c>
      <c r="E87" t="str">
        <f>"10573261"</f>
        <v>10573261</v>
      </c>
      <c r="F87" t="str">
        <f t="shared" si="4"/>
        <v>Affy 1.0 ST</v>
      </c>
      <c r="G87" t="str">
        <f>"MGI:1914179"</f>
        <v>MGI:1914179</v>
      </c>
      <c r="H87" t="str">
        <f>"Asf1b"</f>
        <v>Asf1b</v>
      </c>
      <c r="I87" t="str">
        <f>"ASF1 anti-silencing function 1 homolog B (S. cerevisiae)"</f>
        <v>ASF1 anti-silencing function 1 homolog B (S. cerevisiae)</v>
      </c>
      <c r="J87" t="str">
        <f t="shared" si="6"/>
        <v>protein coding gene</v>
      </c>
    </row>
    <row r="88" spans="1:10">
      <c r="A88">
        <v>10542079</v>
      </c>
      <c r="B88">
        <v>9.74075046502867</v>
      </c>
      <c r="C88">
        <v>7.8380327998925399</v>
      </c>
      <c r="E88" t="str">
        <f>"10542079"</f>
        <v>10542079</v>
      </c>
      <c r="F88" t="str">
        <f t="shared" si="4"/>
        <v>Affy 1.0 ST</v>
      </c>
      <c r="G88" t="str">
        <f>"MGI:1347487"</f>
        <v>MGI:1347487</v>
      </c>
      <c r="H88" t="str">
        <f>"Foxm1"</f>
        <v>Foxm1</v>
      </c>
      <c r="I88" t="str">
        <f>"forkhead box M1"</f>
        <v>forkhead box M1</v>
      </c>
      <c r="J88" t="str">
        <f t="shared" si="6"/>
        <v>protein coding gene</v>
      </c>
    </row>
    <row r="89" spans="1:10">
      <c r="A89">
        <v>10504957</v>
      </c>
      <c r="B89">
        <v>9.7386532885824302</v>
      </c>
      <c r="C89">
        <v>8.9107898248447395</v>
      </c>
      <c r="E89" t="str">
        <f>"10504957"</f>
        <v>10504957</v>
      </c>
      <c r="F89" t="str">
        <f t="shared" si="4"/>
        <v>Affy 1.0 ST</v>
      </c>
      <c r="G89" t="str">
        <f>"MGI:106067"</f>
        <v>MGI:106067</v>
      </c>
      <c r="H89" t="str">
        <f>"Smc2"</f>
        <v>Smc2</v>
      </c>
      <c r="I89" t="str">
        <f>"structural maintenance of chromosomes 2"</f>
        <v>structural maintenance of chromosomes 2</v>
      </c>
      <c r="J89" t="str">
        <f t="shared" si="6"/>
        <v>protein coding gene</v>
      </c>
    </row>
    <row r="90" spans="1:10">
      <c r="A90">
        <v>10516246</v>
      </c>
      <c r="B90">
        <v>9.6726934578010599</v>
      </c>
      <c r="C90">
        <v>7.36603202441961</v>
      </c>
      <c r="E90" t="str">
        <f>"10516246"</f>
        <v>10516246</v>
      </c>
      <c r="F90" t="str">
        <f t="shared" si="4"/>
        <v>Affy 1.0 ST</v>
      </c>
      <c r="G90" t="str">
        <f>"MGI:1196274"</f>
        <v>MGI:1196274</v>
      </c>
      <c r="H90" t="str">
        <f>"Cdca8"</f>
        <v>Cdca8</v>
      </c>
      <c r="I90" t="str">
        <f>"cell division cycle associated 8"</f>
        <v>cell division cycle associated 8</v>
      </c>
      <c r="J90" t="str">
        <f t="shared" si="6"/>
        <v>protein coding gene</v>
      </c>
    </row>
    <row r="91" spans="1:10">
      <c r="A91">
        <v>10594774</v>
      </c>
      <c r="B91">
        <v>9.6587216669571205</v>
      </c>
      <c r="C91">
        <v>6.95476804504559</v>
      </c>
      <c r="E91" t="str">
        <f>"10594774"</f>
        <v>10594774</v>
      </c>
      <c r="F91" t="str">
        <f t="shared" si="4"/>
        <v>Affy 1.0 ST</v>
      </c>
      <c r="G91" t="str">
        <f>"MGI:88311"</f>
        <v>MGI:88311</v>
      </c>
      <c r="H91" t="str">
        <f>"Ccnb2"</f>
        <v>Ccnb2</v>
      </c>
      <c r="I91" t="str">
        <f>"cyclin B2"</f>
        <v>cyclin B2</v>
      </c>
      <c r="J91" t="str">
        <f t="shared" si="6"/>
        <v>protein coding gene</v>
      </c>
    </row>
    <row r="92" spans="1:10">
      <c r="A92">
        <v>10384373</v>
      </c>
      <c r="B92">
        <v>9.6584144545960395</v>
      </c>
      <c r="C92">
        <v>8.5824452661940107</v>
      </c>
      <c r="E92" t="str">
        <f>"10384373"</f>
        <v>10384373</v>
      </c>
      <c r="F92" t="str">
        <f t="shared" si="4"/>
        <v>Affy 1.0 ST</v>
      </c>
      <c r="G92" t="str">
        <f>"MGI:1890648"</f>
        <v>MGI:1890648</v>
      </c>
      <c r="H92" t="str">
        <f>"Fignl1"</f>
        <v>Fignl1</v>
      </c>
      <c r="I92" t="str">
        <f>"fidgetin-like 1"</f>
        <v>fidgetin-like 1</v>
      </c>
      <c r="J92" t="str">
        <f t="shared" si="6"/>
        <v>protein coding gene</v>
      </c>
    </row>
    <row r="93" spans="1:10">
      <c r="A93">
        <v>10538832</v>
      </c>
      <c r="B93">
        <v>9.6540235651609496</v>
      </c>
      <c r="C93">
        <v>8.8001706333162595</v>
      </c>
      <c r="E93" t="str">
        <f>"10538832"</f>
        <v>10538832</v>
      </c>
      <c r="F93" t="str">
        <f t="shared" si="4"/>
        <v>Affy 1.0 ST</v>
      </c>
      <c r="G93" t="str">
        <f>"MGI:1860374"</f>
        <v>MGI:1860374</v>
      </c>
      <c r="H93" t="str">
        <f>"Mad2l1"</f>
        <v>Mad2l1</v>
      </c>
      <c r="I93" t="str">
        <f>"MAD2 mitotic arrest deficient-like 1 (yeast)"</f>
        <v>MAD2 mitotic arrest deficient-like 1 (yeast)</v>
      </c>
      <c r="J93" t="str">
        <f t="shared" si="6"/>
        <v>protein coding gene</v>
      </c>
    </row>
    <row r="94" spans="1:10">
      <c r="A94">
        <v>10438690</v>
      </c>
      <c r="B94">
        <v>9.4929296802467</v>
      </c>
      <c r="C94">
        <v>8.60519257283282</v>
      </c>
      <c r="E94" t="str">
        <f>"10438690"</f>
        <v>10438690</v>
      </c>
      <c r="F94" t="str">
        <f t="shared" si="4"/>
        <v>Affy 1.0 ST</v>
      </c>
      <c r="G94" t="str">
        <f>"MGI:2146571"</f>
        <v>MGI:2146571</v>
      </c>
      <c r="H94" t="str">
        <f>"Rfc4"</f>
        <v>Rfc4</v>
      </c>
      <c r="I94" t="str">
        <f>"replication factor C (activator 1) 4"</f>
        <v>replication factor C (activator 1) 4</v>
      </c>
      <c r="J94" t="str">
        <f t="shared" si="6"/>
        <v>protein coding gene</v>
      </c>
    </row>
    <row r="95" spans="1:10">
      <c r="A95">
        <v>10382998</v>
      </c>
      <c r="B95">
        <v>9.3369778345971</v>
      </c>
      <c r="C95">
        <v>7.1994116775464301</v>
      </c>
      <c r="E95" t="str">
        <f>"10382998"</f>
        <v>10382998</v>
      </c>
      <c r="F95" t="str">
        <f t="shared" si="4"/>
        <v>Affy 1.0 ST</v>
      </c>
      <c r="G95" t="str">
        <f>"MGI:1203517"</f>
        <v>MGI:1203517</v>
      </c>
      <c r="H95" t="str">
        <f>"Birc5"</f>
        <v>Birc5</v>
      </c>
      <c r="I95" t="str">
        <f>"baculoviral IAP repeat-containing 5"</f>
        <v>baculoviral IAP repeat-containing 5</v>
      </c>
      <c r="J95" t="str">
        <f t="shared" si="6"/>
        <v>protein coding gene</v>
      </c>
    </row>
    <row r="96" spans="1:10">
      <c r="A96">
        <v>10515090</v>
      </c>
      <c r="B96">
        <v>9.3332638828580894</v>
      </c>
      <c r="C96">
        <v>5.4794141880903497</v>
      </c>
      <c r="E96" t="str">
        <f>"10515090"</f>
        <v>10515090</v>
      </c>
      <c r="F96" t="str">
        <f t="shared" si="4"/>
        <v>Affy 1.0 ST</v>
      </c>
      <c r="G96" t="str">
        <f>"MGI:105388"</f>
        <v>MGI:105388</v>
      </c>
      <c r="H96" t="str">
        <f>"Cdkn2c"</f>
        <v>Cdkn2c</v>
      </c>
      <c r="I96" t="s">
        <v>2048</v>
      </c>
      <c r="J96" t="s">
        <v>2010</v>
      </c>
    </row>
    <row r="97" spans="1:10">
      <c r="A97">
        <v>10421877</v>
      </c>
      <c r="B97">
        <v>9.2814406756875201</v>
      </c>
      <c r="C97">
        <v>8.0152935049320799</v>
      </c>
      <c r="E97" t="str">
        <f>"10421877"</f>
        <v>10421877</v>
      </c>
      <c r="F97" t="str">
        <f t="shared" si="4"/>
        <v>Affy 1.0 ST</v>
      </c>
      <c r="G97" t="str">
        <f>"MGI:1927222"</f>
        <v>MGI:1927222</v>
      </c>
      <c r="H97" t="str">
        <f>"Diap3"</f>
        <v>Diap3</v>
      </c>
      <c r="I97" t="str">
        <f>"diaphanous homolog 3 (Drosophila)"</f>
        <v>diaphanous homolog 3 (Drosophila)</v>
      </c>
      <c r="J97" t="str">
        <f t="shared" ref="J97:J102" si="7">"protein coding gene"</f>
        <v>protein coding gene</v>
      </c>
    </row>
    <row r="98" spans="1:10">
      <c r="A98">
        <v>10411728</v>
      </c>
      <c r="B98">
        <v>9.2180191210661597</v>
      </c>
      <c r="C98">
        <v>8.1509417633078503</v>
      </c>
      <c r="E98" t="str">
        <f>"10411728"</f>
        <v>10411728</v>
      </c>
      <c r="F98" t="str">
        <f t="shared" si="4"/>
        <v>Affy 1.0 ST</v>
      </c>
      <c r="G98" t="str">
        <f>"MGI:1349448"</f>
        <v>MGI:1349448</v>
      </c>
      <c r="H98" t="str">
        <f>"Cenph"</f>
        <v>Cenph</v>
      </c>
      <c r="I98" t="str">
        <f>"centromere protein H"</f>
        <v>centromere protein H</v>
      </c>
      <c r="J98" t="str">
        <f t="shared" si="7"/>
        <v>protein coding gene</v>
      </c>
    </row>
    <row r="99" spans="1:10">
      <c r="A99">
        <v>10424779</v>
      </c>
      <c r="B99">
        <v>9.0611774829896099</v>
      </c>
      <c r="C99">
        <v>7.2265718736229099</v>
      </c>
      <c r="E99" t="str">
        <f>"10424779"</f>
        <v>10424779</v>
      </c>
      <c r="F99" t="str">
        <f t="shared" si="4"/>
        <v>Affy 1.0 ST</v>
      </c>
      <c r="G99" t="str">
        <f>"MGI:1913447"</f>
        <v>MGI:1913447</v>
      </c>
      <c r="H99" t="str">
        <f>"Cks2"</f>
        <v>Cks2</v>
      </c>
      <c r="I99" t="str">
        <f>"CDC28 protein kinase regulatory subunit 2"</f>
        <v>CDC28 protein kinase regulatory subunit 2</v>
      </c>
      <c r="J99" t="str">
        <f t="shared" si="7"/>
        <v>protein coding gene</v>
      </c>
    </row>
    <row r="100" spans="1:10">
      <c r="A100">
        <v>10478572</v>
      </c>
      <c r="B100">
        <v>9.0350519238796991</v>
      </c>
      <c r="C100">
        <v>6.7614004633621798</v>
      </c>
      <c r="E100" t="str">
        <f>"10478572"</f>
        <v>10478572</v>
      </c>
      <c r="F100" t="str">
        <f t="shared" si="4"/>
        <v>Affy 1.0 ST</v>
      </c>
      <c r="G100" t="str">
        <f>"MGI:1915862"</f>
        <v>MGI:1915862</v>
      </c>
      <c r="H100" t="str">
        <f>"Ube2c"</f>
        <v>Ube2c</v>
      </c>
      <c r="I100" t="str">
        <f>"ubiquitin-conjugating enzyme E2C"</f>
        <v>ubiquitin-conjugating enzyme E2C</v>
      </c>
      <c r="J100" t="str">
        <f t="shared" si="7"/>
        <v>protein coding gene</v>
      </c>
    </row>
    <row r="101" spans="1:10">
      <c r="A101">
        <v>10555695</v>
      </c>
      <c r="B101">
        <v>9.0274200115842707</v>
      </c>
      <c r="C101">
        <v>7.6599898209204804</v>
      </c>
      <c r="E101" t="str">
        <f>"10555695"</f>
        <v>10555695</v>
      </c>
      <c r="F101" t="str">
        <f t="shared" si="4"/>
        <v>Affy 1.0 ST</v>
      </c>
      <c r="G101" t="str">
        <f>"MGI:98180"</f>
        <v>MGI:98180</v>
      </c>
      <c r="H101" t="str">
        <f>"Rrm1"</f>
        <v>Rrm1</v>
      </c>
      <c r="I101" t="str">
        <f>"ribonucleotide reductase M1"</f>
        <v>ribonucleotide reductase M1</v>
      </c>
      <c r="J101" t="str">
        <f t="shared" si="7"/>
        <v>protein coding gene</v>
      </c>
    </row>
    <row r="102" spans="1:10">
      <c r="A102">
        <v>10497520</v>
      </c>
      <c r="B102">
        <v>9.0216085054082793</v>
      </c>
      <c r="C102">
        <v>8.1174572437266796</v>
      </c>
      <c r="E102" t="str">
        <f>"10497520"</f>
        <v>10497520</v>
      </c>
      <c r="F102" t="str">
        <f t="shared" si="4"/>
        <v>Affy 1.0 ST</v>
      </c>
      <c r="G102" t="str">
        <f>"MGI:95281"</f>
        <v>MGI:95281</v>
      </c>
      <c r="H102" t="str">
        <f>"Ect2"</f>
        <v>Ect2</v>
      </c>
      <c r="I102" t="str">
        <f>"ect2 oncogene"</f>
        <v>ect2 oncogene</v>
      </c>
      <c r="J102" t="str">
        <f t="shared" si="7"/>
        <v>protein coding gene</v>
      </c>
    </row>
    <row r="103" spans="1:10">
      <c r="A103">
        <v>10404026</v>
      </c>
      <c r="B103">
        <v>8.9847499132179998</v>
      </c>
      <c r="C103">
        <v>7.9572096304589</v>
      </c>
      <c r="E103" t="str">
        <f>"10404026"</f>
        <v>10404026</v>
      </c>
      <c r="F103" t="str">
        <f t="shared" si="4"/>
        <v>Affy 1.0 ST</v>
      </c>
      <c r="G103" t="str">
        <f>"MGI:2448309"</f>
        <v>MGI:2448309</v>
      </c>
      <c r="H103" t="str">
        <f>"Hist1h2af"</f>
        <v>Hist1h2af</v>
      </c>
      <c r="I103" t="s">
        <v>2014</v>
      </c>
      <c r="J103" t="s">
        <v>2010</v>
      </c>
    </row>
    <row r="104" spans="1:10">
      <c r="A104">
        <v>10575733</v>
      </c>
      <c r="B104">
        <v>8.9108203345753996</v>
      </c>
      <c r="C104">
        <v>6.2945608746669004</v>
      </c>
      <c r="E104" t="str">
        <f>"10575733"</f>
        <v>10575733</v>
      </c>
      <c r="F104" t="str">
        <f t="shared" si="4"/>
        <v>Affy 1.0 ST</v>
      </c>
      <c r="G104" t="str">
        <f>"MGI:1919405"</f>
        <v>MGI:1919405</v>
      </c>
      <c r="H104" t="str">
        <f>"Cenpn"</f>
        <v>Cenpn</v>
      </c>
      <c r="I104" t="str">
        <f>"centromere protein N"</f>
        <v>centromere protein N</v>
      </c>
      <c r="J104" t="str">
        <f>"protein coding gene"</f>
        <v>protein coding gene</v>
      </c>
    </row>
    <row r="105" spans="1:10">
      <c r="A105">
        <v>10432511</v>
      </c>
      <c r="B105">
        <v>8.89779760028628</v>
      </c>
      <c r="C105">
        <v>7.26851880663994</v>
      </c>
      <c r="E105" t="str">
        <f>"10432511"</f>
        <v>10432511</v>
      </c>
      <c r="F105" t="str">
        <f t="shared" si="4"/>
        <v>Affy 1.0 ST</v>
      </c>
      <c r="G105" t="str">
        <f>"MGI:1349423"</f>
        <v>MGI:1349423</v>
      </c>
      <c r="H105" t="str">
        <f>"Racgap1"</f>
        <v>Racgap1</v>
      </c>
      <c r="I105" t="str">
        <f>"Rac GTPase-activating protein 1"</f>
        <v>Rac GTPase-activating protein 1</v>
      </c>
      <c r="J105" t="str">
        <f>"protein coding gene"</f>
        <v>protein coding gene</v>
      </c>
    </row>
    <row r="106" spans="1:10">
      <c r="A106">
        <v>10389606</v>
      </c>
      <c r="B106">
        <v>8.8444884864967204</v>
      </c>
      <c r="C106">
        <v>6.5927940253933697</v>
      </c>
      <c r="E106" t="str">
        <f>"10389606"</f>
        <v>10389606</v>
      </c>
      <c r="F106" t="str">
        <f t="shared" si="4"/>
        <v>Affy 1.0 ST</v>
      </c>
      <c r="G106" t="str">
        <f>"MGI:2444496"</f>
        <v>MGI:2444496</v>
      </c>
      <c r="H106" t="str">
        <f>"Prr11"</f>
        <v>Prr11</v>
      </c>
      <c r="I106" t="str">
        <f>"proline rich 11"</f>
        <v>proline rich 11</v>
      </c>
      <c r="J106" t="str">
        <f>"protein coding gene"</f>
        <v>protein coding gene</v>
      </c>
    </row>
    <row r="107" spans="1:10">
      <c r="A107">
        <v>10408083</v>
      </c>
      <c r="B107">
        <v>8.7298048212546693</v>
      </c>
      <c r="C107">
        <v>6.9937728831652004</v>
      </c>
      <c r="E107" t="str">
        <f>"10408083"</f>
        <v>10408083</v>
      </c>
      <c r="F107" t="str">
        <f t="shared" si="4"/>
        <v>Affy 1.0 ST</v>
      </c>
      <c r="G107" t="str">
        <f>"MGI:2448351"</f>
        <v>MGI:2448351</v>
      </c>
      <c r="H107" t="str">
        <f>"Hist2h3b"</f>
        <v>Hist2h3b</v>
      </c>
      <c r="I107" t="s">
        <v>2109</v>
      </c>
      <c r="J107" t="s">
        <v>2010</v>
      </c>
    </row>
    <row r="108" spans="1:10">
      <c r="A108">
        <v>10491805</v>
      </c>
      <c r="B108">
        <v>8.7043711002714996</v>
      </c>
      <c r="C108">
        <v>6.5280403654025703</v>
      </c>
      <c r="E108" t="str">
        <f>"10491805"</f>
        <v>10491805</v>
      </c>
      <c r="F108" t="str">
        <f t="shared" si="4"/>
        <v>Affy 1.0 ST</v>
      </c>
      <c r="G108" t="str">
        <f>"MGI:101783"</f>
        <v>MGI:101783</v>
      </c>
      <c r="H108" t="str">
        <f>"Plk4"</f>
        <v>Plk4</v>
      </c>
      <c r="I108" t="str">
        <f>"polo-like kinase 4 (Drosophila)"</f>
        <v>polo-like kinase 4 (Drosophila)</v>
      </c>
      <c r="J108" t="str">
        <f>"protein coding gene"</f>
        <v>protein coding gene</v>
      </c>
    </row>
    <row r="109" spans="1:10">
      <c r="A109">
        <v>10371770</v>
      </c>
      <c r="B109">
        <v>8.6690132475789508</v>
      </c>
      <c r="C109">
        <v>6.8852764159419699</v>
      </c>
      <c r="E109" t="str">
        <f>"10371770"</f>
        <v>10371770</v>
      </c>
      <c r="F109" t="str">
        <f t="shared" si="4"/>
        <v>Affy 1.0 ST</v>
      </c>
      <c r="G109" t="str">
        <f>"MGI:1918780"</f>
        <v>MGI:1918780</v>
      </c>
      <c r="H109" t="str">
        <f>"Gas2l3"</f>
        <v>Gas2l3</v>
      </c>
      <c r="I109" t="str">
        <f>"growth arrest-specific 2 like 3"</f>
        <v>growth arrest-specific 2 like 3</v>
      </c>
      <c r="J109" t="str">
        <f>"protein coding gene"</f>
        <v>protein coding gene</v>
      </c>
    </row>
    <row r="110" spans="1:10">
      <c r="A110">
        <v>10494407</v>
      </c>
      <c r="B110">
        <v>8.6292986944843904</v>
      </c>
      <c r="C110">
        <v>6.4907390501190596</v>
      </c>
      <c r="E110" t="str">
        <f>"10494407"</f>
        <v>10494407</v>
      </c>
      <c r="F110" t="str">
        <f t="shared" si="4"/>
        <v>Affy 1.0 ST</v>
      </c>
      <c r="G110" t="str">
        <f>"MGI:2448413"</f>
        <v>MGI:2448413</v>
      </c>
      <c r="H110" t="str">
        <f>"Hist2h2bb"</f>
        <v>Hist2h2bb</v>
      </c>
      <c r="I110" t="s">
        <v>2081</v>
      </c>
      <c r="J110" t="s">
        <v>2010</v>
      </c>
    </row>
    <row r="111" spans="1:10">
      <c r="A111">
        <v>10485963</v>
      </c>
      <c r="B111">
        <v>8.5928273381618805</v>
      </c>
      <c r="C111">
        <v>7.3470024532555396</v>
      </c>
      <c r="E111" t="str">
        <f>"10485963"</f>
        <v>10485963</v>
      </c>
      <c r="F111" t="str">
        <f t="shared" si="4"/>
        <v>Affy 1.0 ST</v>
      </c>
      <c r="G111" t="str">
        <f>"MGI:2444300"</f>
        <v>MGI:2444300</v>
      </c>
      <c r="H111" t="str">
        <f>"Arhgap11a"</f>
        <v>Arhgap11a</v>
      </c>
      <c r="I111" t="str">
        <f>"Rho GTPase activating protein 11A"</f>
        <v>Rho GTPase activating protein 11A</v>
      </c>
      <c r="J111" t="str">
        <f>"protein coding gene"</f>
        <v>protein coding gene</v>
      </c>
    </row>
    <row r="112" spans="1:10">
      <c r="A112">
        <v>10377405</v>
      </c>
      <c r="B112">
        <v>8.5618147138113994</v>
      </c>
      <c r="C112">
        <v>7.0738951108434396</v>
      </c>
      <c r="E112" t="str">
        <f>"10377405"</f>
        <v>10377405</v>
      </c>
      <c r="F112" t="str">
        <f t="shared" si="4"/>
        <v>Affy 1.0 ST</v>
      </c>
      <c r="G112" t="str">
        <f>"MGI:107168"</f>
        <v>MGI:107168</v>
      </c>
      <c r="H112" t="str">
        <f>"Aurkb"</f>
        <v>Aurkb</v>
      </c>
      <c r="I112" t="str">
        <f>"aurora kinase B"</f>
        <v>aurora kinase B</v>
      </c>
      <c r="J112" t="str">
        <f>"protein coding gene"</f>
        <v>protein coding gene</v>
      </c>
    </row>
    <row r="113" spans="1:10">
      <c r="A113">
        <v>10404069</v>
      </c>
      <c r="B113">
        <v>8.4505041816258295</v>
      </c>
      <c r="C113">
        <v>7.2395339970328001</v>
      </c>
      <c r="E113" t="str">
        <f>"10404069"</f>
        <v>10404069</v>
      </c>
      <c r="F113" t="str">
        <f t="shared" si="4"/>
        <v>Affy 1.0 ST</v>
      </c>
      <c r="G113" t="str">
        <f>"MGI:1931523"</f>
        <v>MGI:1931523</v>
      </c>
      <c r="H113" t="str">
        <f>"Hist1h1a"</f>
        <v>Hist1h1a</v>
      </c>
      <c r="I113" t="s">
        <v>2107</v>
      </c>
      <c r="J113" t="s">
        <v>2010</v>
      </c>
    </row>
    <row r="114" spans="1:10">
      <c r="A114">
        <v>10504470</v>
      </c>
      <c r="B114">
        <v>8.4490153728370707</v>
      </c>
      <c r="C114">
        <v>6.3175694178766504</v>
      </c>
      <c r="E114" t="str">
        <f>"10504470"</f>
        <v>10504470</v>
      </c>
      <c r="F114" t="str">
        <f t="shared" si="4"/>
        <v>Affy 1.0 ST</v>
      </c>
      <c r="G114" t="str">
        <f>"MGI:106924"</f>
        <v>MGI:106924</v>
      </c>
      <c r="H114" t="str">
        <f>"Melk"</f>
        <v>Melk</v>
      </c>
      <c r="I114" t="str">
        <f>"maternal embryonic leucine zipper kinase"</f>
        <v>maternal embryonic leucine zipper kinase</v>
      </c>
      <c r="J114" t="str">
        <f>"protein coding gene"</f>
        <v>protein coding gene</v>
      </c>
    </row>
    <row r="115" spans="1:10">
      <c r="A115">
        <v>10474902</v>
      </c>
      <c r="B115">
        <v>8.3666230208602297</v>
      </c>
      <c r="C115">
        <v>7.1719720742103501</v>
      </c>
      <c r="E115" t="str">
        <f>"10474902"</f>
        <v>10474902</v>
      </c>
      <c r="F115" t="str">
        <f t="shared" si="4"/>
        <v>Affy 1.0 ST</v>
      </c>
      <c r="G115" t="str">
        <f>"MGI:97890"</f>
        <v>MGI:97890</v>
      </c>
      <c r="H115" t="str">
        <f>"Rad51"</f>
        <v>Rad51</v>
      </c>
      <c r="I115" t="str">
        <f>"RAD51 homolog (S. cerevisiae)"</f>
        <v>RAD51 homolog (S. cerevisiae)</v>
      </c>
      <c r="J115" t="str">
        <f>"protein coding gene"</f>
        <v>protein coding gene</v>
      </c>
    </row>
    <row r="116" spans="1:10">
      <c r="A116">
        <v>10410560</v>
      </c>
      <c r="B116">
        <v>8.35745320841243</v>
      </c>
      <c r="C116">
        <v>6.7946411195207501</v>
      </c>
      <c r="E116" t="str">
        <f>"10410560"</f>
        <v>10410560</v>
      </c>
      <c r="F116" t="str">
        <f t="shared" si="4"/>
        <v>Affy 1.0 ST</v>
      </c>
      <c r="G116" t="str">
        <f>"MGI:1916966"</f>
        <v>MGI:1916966</v>
      </c>
      <c r="H116" t="str">
        <f>"Trip13"</f>
        <v>Trip13</v>
      </c>
      <c r="I116" t="str">
        <f>"thyroid hormone receptor interactor 13"</f>
        <v>thyroid hormone receptor interactor 13</v>
      </c>
      <c r="J116" t="str">
        <f>"protein coding gene"</f>
        <v>protein coding gene</v>
      </c>
    </row>
    <row r="117" spans="1:10">
      <c r="A117">
        <v>10594251</v>
      </c>
      <c r="B117">
        <v>8.2965074196221007</v>
      </c>
      <c r="C117">
        <v>7.2603491588487099</v>
      </c>
      <c r="E117" t="str">
        <f>"10594251"</f>
        <v>10594251</v>
      </c>
      <c r="F117" t="str">
        <f t="shared" si="4"/>
        <v>Affy 1.0 ST</v>
      </c>
      <c r="G117" t="str">
        <f>"MGI:1919069"</f>
        <v>MGI:1919069</v>
      </c>
      <c r="H117" t="str">
        <f>"Kif23"</f>
        <v>Kif23</v>
      </c>
      <c r="I117" t="str">
        <f>"kinesin family member 23"</f>
        <v>kinesin family member 23</v>
      </c>
      <c r="J117" t="str">
        <f>"protein coding gene"</f>
        <v>protein coding gene</v>
      </c>
    </row>
    <row r="118" spans="1:10">
      <c r="A118">
        <v>10550102</v>
      </c>
      <c r="B118">
        <v>8.28160602823462</v>
      </c>
      <c r="C118">
        <v>7.0285216619392701</v>
      </c>
      <c r="E118" t="str">
        <f>"10550102"</f>
        <v>10550102</v>
      </c>
      <c r="F118" t="str">
        <f t="shared" si="4"/>
        <v>Affy 1.0 ST</v>
      </c>
      <c r="G118" t="str">
        <f>"MGI:101789"</f>
        <v>MGI:101789</v>
      </c>
      <c r="H118" t="str">
        <f>"Lig1"</f>
        <v>Lig1</v>
      </c>
      <c r="I118" t="s">
        <v>2028</v>
      </c>
      <c r="J118" t="s">
        <v>2010</v>
      </c>
    </row>
    <row r="119" spans="1:10">
      <c r="A119">
        <v>10606436</v>
      </c>
      <c r="B119">
        <v>8.1732849253340607</v>
      </c>
      <c r="C119">
        <v>7.0606200099416903</v>
      </c>
      <c r="E119" t="str">
        <f>"10606436"</f>
        <v>10606436</v>
      </c>
      <c r="F119" t="str">
        <f t="shared" si="4"/>
        <v>Affy 1.0 ST</v>
      </c>
      <c r="G119" t="str">
        <f>"MGI:1355295"</f>
        <v>MGI:1355295</v>
      </c>
      <c r="H119" t="str">
        <f>"Hmgn5"</f>
        <v>Hmgn5</v>
      </c>
      <c r="I119" t="str">
        <f>"high-mobility group nucleosome binding domain 5"</f>
        <v>high-mobility group nucleosome binding domain 5</v>
      </c>
      <c r="J119" t="str">
        <f>"protein coding gene"</f>
        <v>protein coding gene</v>
      </c>
    </row>
    <row r="120" spans="1:10">
      <c r="A120">
        <v>10403980</v>
      </c>
      <c r="B120">
        <v>8.1604513080482892</v>
      </c>
      <c r="C120">
        <v>7.0937537592365496</v>
      </c>
      <c r="E120" t="str">
        <f>"10403980"</f>
        <v>10403980</v>
      </c>
      <c r="F120" t="str">
        <f t="shared" si="4"/>
        <v>Affy 1.0 ST</v>
      </c>
      <c r="G120" t="str">
        <f>"MGI:3710645"</f>
        <v>MGI:3710645</v>
      </c>
      <c r="H120" t="str">
        <f>"Hist1h2br"</f>
        <v>Hist1h2br</v>
      </c>
      <c r="I120" t="str">
        <f>"histone cluster 1 H2br"</f>
        <v>histone cluster 1 H2br</v>
      </c>
      <c r="J120" t="str">
        <f>"protein coding gene"</f>
        <v>protein coding gene</v>
      </c>
    </row>
    <row r="121" spans="1:10">
      <c r="A121">
        <v>10508151</v>
      </c>
      <c r="B121">
        <v>8.1578128816433093</v>
      </c>
      <c r="C121">
        <v>6.5541943438963797</v>
      </c>
      <c r="E121" t="str">
        <f>"10508151"</f>
        <v>10508151</v>
      </c>
      <c r="F121" t="str">
        <f t="shared" si="4"/>
        <v>Affy 1.0 ST</v>
      </c>
      <c r="G121" t="str">
        <f>"MGI:2445153"</f>
        <v>MGI:2445153</v>
      </c>
      <c r="H121" t="str">
        <f>"Clspn"</f>
        <v>Clspn</v>
      </c>
      <c r="I121" t="str">
        <f>"claspin homolog (Xenopus laevis)"</f>
        <v>claspin homolog (Xenopus laevis)</v>
      </c>
      <c r="J121" t="str">
        <f>"protein coding gene"</f>
        <v>protein coding gene</v>
      </c>
    </row>
    <row r="122" spans="1:10">
      <c r="A122">
        <v>10577508</v>
      </c>
      <c r="B122">
        <v>8.0632232819277405</v>
      </c>
      <c r="C122">
        <v>4.1054239282720504</v>
      </c>
      <c r="E122" t="str">
        <f>"10577508"</f>
        <v>10577508</v>
      </c>
      <c r="F122" t="str">
        <f t="shared" si="4"/>
        <v>Affy 1.0 ST</v>
      </c>
      <c r="G122" t="str">
        <f>"MGI:1931797"</f>
        <v>MGI:1931797</v>
      </c>
      <c r="H122" t="str">
        <f>"Ckap2"</f>
        <v>Ckap2</v>
      </c>
      <c r="I122" t="str">
        <f>"cytoskeleton associated protein 2"</f>
        <v>cytoskeleton associated protein 2</v>
      </c>
      <c r="J122" t="str">
        <f>"protein coding gene"</f>
        <v>protein coding gene</v>
      </c>
    </row>
    <row r="123" spans="1:10">
      <c r="A123">
        <v>10512065</v>
      </c>
      <c r="B123">
        <v>8.0227929012208996</v>
      </c>
      <c r="C123">
        <v>6.62578157398426</v>
      </c>
      <c r="E123" t="str">
        <f>"10512065"</f>
        <v>10512065</v>
      </c>
      <c r="F123" t="str">
        <f t="shared" si="4"/>
        <v>Affy 1.0 ST</v>
      </c>
      <c r="G123" t="str">
        <f>"MGI:3651413"</f>
        <v>MGI:3651413</v>
      </c>
      <c r="H123" t="str">
        <f>"Gm12387"</f>
        <v>Gm12387</v>
      </c>
      <c r="I123" t="str">
        <f>"predicted gene 12387"</f>
        <v>predicted gene 12387</v>
      </c>
      <c r="J123" t="str">
        <f>"pseudogene"</f>
        <v>pseudogene</v>
      </c>
    </row>
    <row r="124" spans="1:10">
      <c r="A124">
        <v>10541729</v>
      </c>
      <c r="B124">
        <v>7.8914849959179998</v>
      </c>
      <c r="C124">
        <v>5.0407672386404103</v>
      </c>
      <c r="E124" t="str">
        <f>"10541729"</f>
        <v>10541729</v>
      </c>
      <c r="F124" t="str">
        <f t="shared" si="4"/>
        <v>Affy 1.0 ST</v>
      </c>
      <c r="G124" t="str">
        <f>"MGI:1315198"</f>
        <v>MGI:1315198</v>
      </c>
      <c r="H124" t="str">
        <f>"Cdca3"</f>
        <v>Cdca3</v>
      </c>
      <c r="I124" t="str">
        <f>"cell division cycle associated 3"</f>
        <v>cell division cycle associated 3</v>
      </c>
      <c r="J124" t="str">
        <f>"protein coding gene"</f>
        <v>protein coding gene</v>
      </c>
    </row>
    <row r="125" spans="1:10">
      <c r="A125">
        <v>10446074</v>
      </c>
      <c r="B125">
        <v>7.8530049361272702</v>
      </c>
      <c r="C125">
        <v>5.8786186833372396</v>
      </c>
      <c r="E125" t="str">
        <f>"10446074"</f>
        <v>10446074</v>
      </c>
      <c r="F125" t="str">
        <f t="shared" si="4"/>
        <v>Affy 1.0 ST</v>
      </c>
      <c r="G125" t="str">
        <f>"MGI:1338889"</f>
        <v>MGI:1338889</v>
      </c>
      <c r="H125" t="str">
        <f>"Uhrf1"</f>
        <v>Uhrf1</v>
      </c>
      <c r="I125" t="s">
        <v>2082</v>
      </c>
      <c r="J125" t="s">
        <v>2010</v>
      </c>
    </row>
    <row r="126" spans="1:10">
      <c r="A126">
        <v>10487340</v>
      </c>
      <c r="B126">
        <v>7.6711806005241696</v>
      </c>
      <c r="C126">
        <v>4.7793568471084402</v>
      </c>
      <c r="E126" t="str">
        <f>"10487340"</f>
        <v>10487340</v>
      </c>
      <c r="F126" t="str">
        <f t="shared" si="4"/>
        <v>Affy 1.0 ST</v>
      </c>
      <c r="G126" t="str">
        <f>"MGI:2444777"</f>
        <v>MGI:2444777</v>
      </c>
      <c r="H126" t="str">
        <f>"Ncaph"</f>
        <v>Ncaph</v>
      </c>
      <c r="I126" t="s">
        <v>2113</v>
      </c>
      <c r="J126" t="s">
        <v>2010</v>
      </c>
    </row>
    <row r="127" spans="1:10">
      <c r="A127">
        <v>10353010</v>
      </c>
      <c r="B127">
        <v>7.6145710520196799</v>
      </c>
      <c r="C127">
        <v>3.3400115734832201</v>
      </c>
      <c r="E127" t="str">
        <f>"10353010"</f>
        <v>10353010</v>
      </c>
      <c r="F127" t="str">
        <f t="shared" si="4"/>
        <v>Affy 1.0 ST</v>
      </c>
      <c r="G127" t="str">
        <f>"MGI:99925"</f>
        <v>MGI:99925</v>
      </c>
      <c r="H127" t="str">
        <f>"Mybl1"</f>
        <v>Mybl1</v>
      </c>
      <c r="I127" t="str">
        <f>"myeloblastosis oncogene-like 1"</f>
        <v>myeloblastosis oncogene-like 1</v>
      </c>
      <c r="J127" t="str">
        <f>"protein coding gene"</f>
        <v>protein coding gene</v>
      </c>
    </row>
    <row r="128" spans="1:10">
      <c r="A128">
        <v>10399391</v>
      </c>
      <c r="B128">
        <v>7.4760936427701701</v>
      </c>
      <c r="C128">
        <v>5.2870758730032499</v>
      </c>
      <c r="E128" t="str">
        <f>"10399391"</f>
        <v>10399391</v>
      </c>
      <c r="F128" t="str">
        <f t="shared" si="4"/>
        <v>Affy 1.0 ST</v>
      </c>
      <c r="G128" t="str">
        <f>"MGI:2443149"</f>
        <v>MGI:2443149</v>
      </c>
      <c r="H128" t="str">
        <f>"Gen1"</f>
        <v>Gen1</v>
      </c>
      <c r="I128" t="s">
        <v>2087</v>
      </c>
      <c r="J128" t="s">
        <v>2010</v>
      </c>
    </row>
    <row r="129" spans="1:10">
      <c r="A129">
        <v>10544106</v>
      </c>
      <c r="B129">
        <v>7.4288849495239599</v>
      </c>
      <c r="C129">
        <v>4.5874248305599501</v>
      </c>
      <c r="E129" t="str">
        <f>"10544106"</f>
        <v>10544106</v>
      </c>
      <c r="F129" t="str">
        <f>""</f>
        <v/>
      </c>
      <c r="G129" t="str">
        <f>"No associated gene"</f>
        <v>No associated gene</v>
      </c>
    </row>
    <row r="130" spans="1:10">
      <c r="A130">
        <v>10556266</v>
      </c>
      <c r="B130">
        <v>7.3086295625525803</v>
      </c>
      <c r="C130">
        <v>6.6051627190257998</v>
      </c>
      <c r="E130" t="str">
        <f>"10556266"</f>
        <v>10556266</v>
      </c>
      <c r="F130" t="str">
        <f t="shared" ref="F130:F166" si="8">"Affy 1.0 ST"</f>
        <v>Affy 1.0 ST</v>
      </c>
      <c r="G130" t="str">
        <f>"MGI:103075"</f>
        <v>MGI:103075</v>
      </c>
      <c r="H130" t="str">
        <f>"Wee1"</f>
        <v>Wee1</v>
      </c>
      <c r="I130" t="str">
        <f>"WEE 1 homolog 1 (S. pombe)"</f>
        <v>WEE 1 homolog 1 (S. pombe)</v>
      </c>
      <c r="J130" t="str">
        <f>"protein coding gene"</f>
        <v>protein coding gene</v>
      </c>
    </row>
    <row r="131" spans="1:10">
      <c r="A131">
        <v>10494386</v>
      </c>
      <c r="B131">
        <v>7.2486215553308302</v>
      </c>
      <c r="C131">
        <v>3.0696131124648902</v>
      </c>
      <c r="E131" t="str">
        <f>"10494386"</f>
        <v>10494386</v>
      </c>
      <c r="F131" t="str">
        <f t="shared" si="8"/>
        <v>Affy 1.0 ST</v>
      </c>
      <c r="G131" t="str">
        <f>"MGI:2448300"</f>
        <v>MGI:2448300</v>
      </c>
      <c r="H131" t="str">
        <f>"Hist1h2an"</f>
        <v>Hist1h2an</v>
      </c>
      <c r="I131" t="s">
        <v>2024</v>
      </c>
      <c r="J131" t="s">
        <v>2010</v>
      </c>
    </row>
    <row r="132" spans="1:10">
      <c r="A132">
        <v>10584710</v>
      </c>
      <c r="B132">
        <v>7.2364403454746702</v>
      </c>
      <c r="C132">
        <v>5.0918291479884603</v>
      </c>
      <c r="E132" t="str">
        <f>"10584710"</f>
        <v>10584710</v>
      </c>
      <c r="F132" t="str">
        <f t="shared" si="8"/>
        <v>Affy 1.0 ST</v>
      </c>
      <c r="G132" t="str">
        <f>"MGI:102688"</f>
        <v>MGI:102688</v>
      </c>
      <c r="H132" t="str">
        <f>"H2afx"</f>
        <v>H2afx</v>
      </c>
      <c r="I132" t="s">
        <v>2040</v>
      </c>
      <c r="J132" t="s">
        <v>2010</v>
      </c>
    </row>
    <row r="133" spans="1:10">
      <c r="A133">
        <v>10416736</v>
      </c>
      <c r="B133">
        <v>7.22677337984533</v>
      </c>
      <c r="C133">
        <v>4.5713036785233001</v>
      </c>
      <c r="E133" t="str">
        <f>"10416736"</f>
        <v>10416736</v>
      </c>
      <c r="F133" t="str">
        <f t="shared" si="8"/>
        <v>Affy 1.0 ST</v>
      </c>
      <c r="G133" t="str">
        <f>"MGI:1924994"</f>
        <v>MGI:1924994</v>
      </c>
      <c r="H133" t="str">
        <f>"6720463M24Rik"</f>
        <v>6720463M24Rik</v>
      </c>
      <c r="I133" t="str">
        <f>"RIKEN cDNA 6720463M24 gene"</f>
        <v>RIKEN cDNA 6720463M24 gene</v>
      </c>
      <c r="J133" t="str">
        <f>"protein coding gene"</f>
        <v>protein coding gene</v>
      </c>
    </row>
    <row r="134" spans="1:10">
      <c r="A134">
        <v>10404051</v>
      </c>
      <c r="B134">
        <v>7.2237379402736899</v>
      </c>
      <c r="C134">
        <v>5.5322837345782601</v>
      </c>
      <c r="E134" t="str">
        <f>"10404051"</f>
        <v>10404051</v>
      </c>
      <c r="F134" t="str">
        <f t="shared" si="8"/>
        <v>Affy 1.0 ST</v>
      </c>
      <c r="G134" t="str">
        <f>"MGI:2448423"</f>
        <v>MGI:2448423</v>
      </c>
      <c r="H134" t="str">
        <f>"Hist1h4d"</f>
        <v>Hist1h4d</v>
      </c>
      <c r="I134" t="s">
        <v>2001</v>
      </c>
      <c r="J134" t="s">
        <v>2010</v>
      </c>
    </row>
    <row r="135" spans="1:10">
      <c r="A135">
        <v>10389395</v>
      </c>
      <c r="B135">
        <v>7.1941546025788901</v>
      </c>
      <c r="C135">
        <v>6.0783056763528496</v>
      </c>
      <c r="E135" t="str">
        <f>"10389395"</f>
        <v>10389395</v>
      </c>
      <c r="F135" t="str">
        <f t="shared" si="8"/>
        <v>Affy 1.0 ST</v>
      </c>
      <c r="G135" t="str">
        <f>"MGI:2442836"</f>
        <v>MGI:2442836</v>
      </c>
      <c r="H135" t="str">
        <f>"Brip1"</f>
        <v>Brip1</v>
      </c>
      <c r="I135" t="str">
        <f>"BRCA1 interacting protein C-terminal helicase 1"</f>
        <v>BRCA1 interacting protein C-terminal helicase 1</v>
      </c>
      <c r="J135" t="str">
        <f t="shared" ref="J135:J140" si="9">"protein coding gene"</f>
        <v>protein coding gene</v>
      </c>
    </row>
    <row r="136" spans="1:10">
      <c r="A136">
        <v>10363743</v>
      </c>
      <c r="B136">
        <v>7.0187179214005502</v>
      </c>
      <c r="C136">
        <v>3.4783664154456102</v>
      </c>
      <c r="E136" t="str">
        <f>"10363743"</f>
        <v>10363743</v>
      </c>
      <c r="F136" t="str">
        <f t="shared" si="8"/>
        <v>Affy 1.0 ST</v>
      </c>
      <c r="G136" t="str">
        <f>"MGI:2158417"</f>
        <v>MGI:2158417</v>
      </c>
      <c r="H136" t="str">
        <f>"Rtkn2"</f>
        <v>Rtkn2</v>
      </c>
      <c r="I136" t="str">
        <f>"rhotekin 2"</f>
        <v>rhotekin 2</v>
      </c>
      <c r="J136" t="str">
        <f t="shared" si="9"/>
        <v>protein coding gene</v>
      </c>
    </row>
    <row r="137" spans="1:10">
      <c r="A137">
        <v>10391461</v>
      </c>
      <c r="B137">
        <v>7.0011100575528999</v>
      </c>
      <c r="C137">
        <v>5.4449025470015098</v>
      </c>
      <c r="E137" t="str">
        <f>"10391461"</f>
        <v>10391461</v>
      </c>
      <c r="F137" t="str">
        <f t="shared" si="8"/>
        <v>Affy 1.0 ST</v>
      </c>
      <c r="G137" t="str">
        <f>"MGI:104537"</f>
        <v>MGI:104537</v>
      </c>
      <c r="H137" t="str">
        <f>"Brca1"</f>
        <v>Brca1</v>
      </c>
      <c r="I137" t="str">
        <f>"breast cancer 1"</f>
        <v>breast cancer 1</v>
      </c>
      <c r="J137" t="str">
        <f t="shared" si="9"/>
        <v>protein coding gene</v>
      </c>
    </row>
    <row r="138" spans="1:10">
      <c r="A138">
        <v>10515257</v>
      </c>
      <c r="B138">
        <v>6.9554994180317404</v>
      </c>
      <c r="C138">
        <v>5.8837047396196196</v>
      </c>
      <c r="E138" t="str">
        <f>"10515257"</f>
        <v>10515257</v>
      </c>
      <c r="F138" t="str">
        <f t="shared" si="8"/>
        <v>Affy 1.0 ST</v>
      </c>
      <c r="G138" t="str">
        <f>"MGI:894697"</f>
        <v>MGI:894697</v>
      </c>
      <c r="H138" t="str">
        <f>"Rad54l"</f>
        <v>Rad54l</v>
      </c>
      <c r="I138" t="str">
        <f>"RAD54 like (S. cerevisiae)"</f>
        <v>RAD54 like (S. cerevisiae)</v>
      </c>
      <c r="J138" t="str">
        <f t="shared" si="9"/>
        <v>protein coding gene</v>
      </c>
    </row>
    <row r="139" spans="1:10">
      <c r="A139">
        <v>10490104</v>
      </c>
      <c r="B139">
        <v>6.9360425835416697</v>
      </c>
      <c r="C139">
        <v>4.7941760901296702</v>
      </c>
      <c r="E139" t="str">
        <f>"10490104"</f>
        <v>10490104</v>
      </c>
      <c r="F139" t="str">
        <f t="shared" si="8"/>
        <v>Affy 1.0 ST</v>
      </c>
      <c r="G139" t="str">
        <f>"MGI:894678"</f>
        <v>MGI:894678</v>
      </c>
      <c r="H139" t="str">
        <f>"Aurka"</f>
        <v>Aurka</v>
      </c>
      <c r="I139" t="str">
        <f>"aurora kinase A"</f>
        <v>aurora kinase A</v>
      </c>
      <c r="J139" t="str">
        <f t="shared" si="9"/>
        <v>protein coding gene</v>
      </c>
    </row>
    <row r="140" spans="1:10">
      <c r="A140">
        <v>10568150</v>
      </c>
      <c r="B140">
        <v>6.9183868519943399</v>
      </c>
      <c r="C140">
        <v>3.4688618809561702</v>
      </c>
      <c r="E140" t="str">
        <f>"10568150"</f>
        <v>10568150</v>
      </c>
      <c r="F140" t="str">
        <f t="shared" si="8"/>
        <v>Affy 1.0 ST</v>
      </c>
      <c r="G140" t="str">
        <f>"MGI:109233"</f>
        <v>MGI:109233</v>
      </c>
      <c r="H140" t="str">
        <f>"Kif22"</f>
        <v>Kif22</v>
      </c>
      <c r="I140" t="str">
        <f>"kinesin family member 22"</f>
        <v>kinesin family member 22</v>
      </c>
      <c r="J140" t="str">
        <f t="shared" si="9"/>
        <v>protein coding gene</v>
      </c>
    </row>
    <row r="141" spans="1:10">
      <c r="A141">
        <v>10480628</v>
      </c>
      <c r="B141">
        <v>6.8158738613589698</v>
      </c>
      <c r="C141">
        <v>3.8284372371897302</v>
      </c>
      <c r="E141" t="str">
        <f>"10480628"</f>
        <v>10480628</v>
      </c>
      <c r="F141" t="str">
        <f t="shared" si="8"/>
        <v>Affy 1.0 ST</v>
      </c>
      <c r="G141" t="str">
        <f>"MGI:1915472"</f>
        <v>MGI:1915472</v>
      </c>
      <c r="H141" t="str">
        <f>"Tubb2c"</f>
        <v>Tubb2c</v>
      </c>
      <c r="I141" t="s">
        <v>2002</v>
      </c>
      <c r="J141" t="s">
        <v>2010</v>
      </c>
    </row>
    <row r="142" spans="1:10">
      <c r="A142">
        <v>10409190</v>
      </c>
      <c r="B142">
        <v>6.7917064680083898</v>
      </c>
      <c r="C142">
        <v>3.96338151996915</v>
      </c>
      <c r="E142" t="str">
        <f>"10409190"</f>
        <v>10409190</v>
      </c>
      <c r="F142" t="str">
        <f t="shared" si="8"/>
        <v>Affy 1.0 ST</v>
      </c>
      <c r="G142" t="str">
        <f>"MGI:1913586"</f>
        <v>MGI:1913586</v>
      </c>
      <c r="H142" t="str">
        <f>"Cenpp"</f>
        <v>Cenpp</v>
      </c>
      <c r="I142" t="str">
        <f>"centromere protein P"</f>
        <v>centromere protein P</v>
      </c>
      <c r="J142" t="str">
        <f>"protein coding gene"</f>
        <v>protein coding gene</v>
      </c>
    </row>
    <row r="143" spans="1:10">
      <c r="A143">
        <v>10408210</v>
      </c>
      <c r="B143">
        <v>6.7788824132087404</v>
      </c>
      <c r="C143">
        <v>5.3346734525449797</v>
      </c>
      <c r="E143" t="str">
        <f>"10408210"</f>
        <v>10408210</v>
      </c>
      <c r="F143" t="str">
        <f t="shared" si="8"/>
        <v>Affy 1.0 ST</v>
      </c>
      <c r="G143" t="str">
        <f>"MGI:3710645"</f>
        <v>MGI:3710645</v>
      </c>
      <c r="H143" t="str">
        <f>"Hist1h2br"</f>
        <v>Hist1h2br</v>
      </c>
      <c r="I143" t="str">
        <f>"histone cluster 1 H2br"</f>
        <v>histone cluster 1 H2br</v>
      </c>
      <c r="J143" t="str">
        <f>"protein coding gene"</f>
        <v>protein coding gene</v>
      </c>
    </row>
    <row r="144" spans="1:10">
      <c r="A144">
        <v>10474825</v>
      </c>
      <c r="B144">
        <v>6.6009768965717504</v>
      </c>
      <c r="C144">
        <v>4.43514654316541</v>
      </c>
      <c r="E144" t="str">
        <f>"10474825"</f>
        <v>10474825</v>
      </c>
      <c r="F144" t="str">
        <f t="shared" si="8"/>
        <v>Affy 1.0 ST</v>
      </c>
      <c r="G144" t="str">
        <f>"MGI:1289298"</f>
        <v>MGI:1289298</v>
      </c>
      <c r="H144" t="str">
        <f>"D2Ertd750e"</f>
        <v>D2Ertd750e</v>
      </c>
      <c r="I144" t="s">
        <v>2003</v>
      </c>
      <c r="J144" t="s">
        <v>2010</v>
      </c>
    </row>
    <row r="145" spans="1:10">
      <c r="A145">
        <v>10465861</v>
      </c>
      <c r="B145">
        <v>6.5694928992467103</v>
      </c>
      <c r="C145">
        <v>3.9613298279895801</v>
      </c>
      <c r="E145" t="str">
        <f>"10465861"</f>
        <v>10465861</v>
      </c>
      <c r="F145" t="str">
        <f t="shared" si="8"/>
        <v>Affy 1.0 ST</v>
      </c>
      <c r="G145" t="str">
        <f>"MGI:1313288"</f>
        <v>MGI:1313288</v>
      </c>
      <c r="H145" t="str">
        <f>"Incenp"</f>
        <v>Incenp</v>
      </c>
      <c r="I145" t="str">
        <f>"inner centromere protein"</f>
        <v>inner centromere protein</v>
      </c>
      <c r="J145" t="str">
        <f>"protein coding gene"</f>
        <v>protein coding gene</v>
      </c>
    </row>
    <row r="146" spans="1:10">
      <c r="A146">
        <v>10571870</v>
      </c>
      <c r="B146">
        <v>6.5508059440255497</v>
      </c>
      <c r="C146">
        <v>5.0089750566330196</v>
      </c>
      <c r="E146" t="str">
        <f>"10571870"</f>
        <v>10571870</v>
      </c>
      <c r="F146" t="str">
        <f t="shared" si="8"/>
        <v>Affy 1.0 ST</v>
      </c>
      <c r="G146" t="str">
        <f>"MGI:96157"</f>
        <v>MGI:96157</v>
      </c>
      <c r="H146" t="str">
        <f>"Hmgb2"</f>
        <v>Hmgb2</v>
      </c>
      <c r="I146" t="str">
        <f>"high mobility group box 2"</f>
        <v>high mobility group box 2</v>
      </c>
      <c r="J146" t="str">
        <f>"protein coding gene"</f>
        <v>protein coding gene</v>
      </c>
    </row>
    <row r="147" spans="1:10">
      <c r="A147">
        <v>10479811</v>
      </c>
      <c r="B147">
        <v>6.5310477258406197</v>
      </c>
      <c r="C147">
        <v>4.8618607671700804</v>
      </c>
      <c r="E147" t="str">
        <f>"10479811"</f>
        <v>10479811</v>
      </c>
      <c r="F147" t="str">
        <f t="shared" si="8"/>
        <v>Affy 1.0 ST</v>
      </c>
      <c r="G147" t="str">
        <f>"MGI:1917274"</f>
        <v>MGI:1917274</v>
      </c>
      <c r="H147" t="str">
        <f>"Mcm10"</f>
        <v>Mcm10</v>
      </c>
      <c r="I147" t="str">
        <f>"minichromosome maintenance deficient 10 (S. cerevisiae)"</f>
        <v>minichromosome maintenance deficient 10 (S. cerevisiae)</v>
      </c>
      <c r="J147" t="str">
        <f>"protein coding gene"</f>
        <v>protein coding gene</v>
      </c>
    </row>
    <row r="148" spans="1:10">
      <c r="A148">
        <v>10594426</v>
      </c>
      <c r="B148">
        <v>6.50162680350165</v>
      </c>
      <c r="C148">
        <v>4.23845903921102</v>
      </c>
      <c r="E148" t="str">
        <f>"10594426"</f>
        <v>10594426</v>
      </c>
      <c r="F148" t="str">
        <f t="shared" si="8"/>
        <v>Affy 1.0 ST</v>
      </c>
      <c r="G148" t="str">
        <f>"MGI:1915264"</f>
        <v>MGI:1915264</v>
      </c>
      <c r="H148" t="str">
        <f>"Zwilch"</f>
        <v>Zwilch</v>
      </c>
      <c r="I148" t="s">
        <v>2089</v>
      </c>
      <c r="J148" t="s">
        <v>2010</v>
      </c>
    </row>
    <row r="149" spans="1:10">
      <c r="A149">
        <v>10450519</v>
      </c>
      <c r="B149">
        <v>6.3966699151252504</v>
      </c>
      <c r="C149">
        <v>5.3217850678556804</v>
      </c>
      <c r="E149" t="str">
        <f>"10450519"</f>
        <v>10450519</v>
      </c>
      <c r="F149" t="str">
        <f t="shared" si="8"/>
        <v>Affy 1.0 ST</v>
      </c>
      <c r="G149" t="str">
        <f>"MGI:103180"</f>
        <v>MGI:103180</v>
      </c>
      <c r="H149" t="str">
        <f>"Tcf19"</f>
        <v>Tcf19</v>
      </c>
      <c r="I149" t="str">
        <f>"transcription factor 19"</f>
        <v>transcription factor 19</v>
      </c>
      <c r="J149" t="str">
        <f t="shared" ref="J149:J156" si="10">"protein coding gene"</f>
        <v>protein coding gene</v>
      </c>
    </row>
    <row r="150" spans="1:10">
      <c r="A150">
        <v>10426016</v>
      </c>
      <c r="B150">
        <v>6.3721828967596403</v>
      </c>
      <c r="C150">
        <v>2.0361105238892301</v>
      </c>
      <c r="E150" t="str">
        <f>"10426016"</f>
        <v>10426016</v>
      </c>
      <c r="F150" t="str">
        <f t="shared" si="8"/>
        <v>Affy 1.0 ST</v>
      </c>
      <c r="G150" t="str">
        <f>"MGI:1352755"</f>
        <v>MGI:1352755</v>
      </c>
      <c r="H150" t="str">
        <f>"Gtse1"</f>
        <v>Gtse1</v>
      </c>
      <c r="I150" t="str">
        <f>"G two S phase expressed protein 1"</f>
        <v>G two S phase expressed protein 1</v>
      </c>
      <c r="J150" t="str">
        <f t="shared" si="10"/>
        <v>protein coding gene</v>
      </c>
    </row>
    <row r="151" spans="1:10">
      <c r="A151">
        <v>10515744</v>
      </c>
      <c r="B151">
        <v>6.3535567577716501</v>
      </c>
      <c r="C151">
        <v>3.0972923525432199</v>
      </c>
      <c r="E151" t="str">
        <f>"10515744"</f>
        <v>10515744</v>
      </c>
      <c r="F151" t="str">
        <f t="shared" si="8"/>
        <v>Affy 1.0 ST</v>
      </c>
      <c r="G151" t="str">
        <f>"MGI:1859866"</f>
        <v>MGI:1859866</v>
      </c>
      <c r="H151" t="str">
        <f>"Cdc20"</f>
        <v>Cdc20</v>
      </c>
      <c r="I151" t="str">
        <f>"cell division cycle 20 homolog (S. cerevisiae)"</f>
        <v>cell division cycle 20 homolog (S. cerevisiae)</v>
      </c>
      <c r="J151" t="str">
        <f t="shared" si="10"/>
        <v>protein coding gene</v>
      </c>
    </row>
    <row r="152" spans="1:10">
      <c r="A152">
        <v>10586184</v>
      </c>
      <c r="B152">
        <v>6.3265687789802101</v>
      </c>
      <c r="C152">
        <v>5.0863950668706002</v>
      </c>
      <c r="E152" t="str">
        <f>"10586184"</f>
        <v>10586184</v>
      </c>
      <c r="F152" t="str">
        <f t="shared" si="8"/>
        <v>Affy 1.0 ST</v>
      </c>
      <c r="G152" t="str">
        <f>"MGI:1921571"</f>
        <v>MGI:1921571</v>
      </c>
      <c r="H152" t="str">
        <f>"Tipin"</f>
        <v>Tipin</v>
      </c>
      <c r="I152" t="str">
        <f>"timeless interacting protein"</f>
        <v>timeless interacting protein</v>
      </c>
      <c r="J152" t="str">
        <f t="shared" si="10"/>
        <v>protein coding gene</v>
      </c>
    </row>
    <row r="153" spans="1:10">
      <c r="A153">
        <v>10503264</v>
      </c>
      <c r="B153">
        <v>6.3129806857787401</v>
      </c>
      <c r="C153">
        <v>4.7513082792872003</v>
      </c>
      <c r="E153" t="str">
        <f>"10503264"</f>
        <v>10503264</v>
      </c>
      <c r="F153" t="str">
        <f t="shared" si="8"/>
        <v>Affy 1.0 ST</v>
      </c>
      <c r="G153" t="str">
        <f>"MGI:1329034"</f>
        <v>MGI:1329034</v>
      </c>
      <c r="H153" t="str">
        <f>"Ccne2"</f>
        <v>Ccne2</v>
      </c>
      <c r="I153" t="str">
        <f>"cyclin E2"</f>
        <v>cyclin E2</v>
      </c>
      <c r="J153" t="str">
        <f t="shared" si="10"/>
        <v>protein coding gene</v>
      </c>
    </row>
    <row r="154" spans="1:10">
      <c r="A154">
        <v>10524790</v>
      </c>
      <c r="B154">
        <v>6.1815286366865898</v>
      </c>
      <c r="C154">
        <v>4.0431501496014599</v>
      </c>
      <c r="E154" t="str">
        <f>"10524790"</f>
        <v>10524790</v>
      </c>
      <c r="F154" t="str">
        <f t="shared" si="8"/>
        <v>Affy 1.0 ST</v>
      </c>
      <c r="G154" t="str">
        <f>"MGI:105313"</f>
        <v>MGI:105313</v>
      </c>
      <c r="H154" t="str">
        <f>"Cit"</f>
        <v>Cit</v>
      </c>
      <c r="I154" t="str">
        <f>"citron"</f>
        <v>citron</v>
      </c>
      <c r="J154" t="str">
        <f t="shared" si="10"/>
        <v>protein coding gene</v>
      </c>
    </row>
    <row r="155" spans="1:10">
      <c r="A155">
        <v>10438378</v>
      </c>
      <c r="B155">
        <v>6.17678481022668</v>
      </c>
      <c r="C155">
        <v>4.6429675762976403</v>
      </c>
      <c r="E155" t="str">
        <f>"10438378"</f>
        <v>10438378</v>
      </c>
      <c r="F155" t="str">
        <f t="shared" si="8"/>
        <v>Affy 1.0 ST</v>
      </c>
      <c r="G155" t="str">
        <f>"MGI:1338073"</f>
        <v>MGI:1338073</v>
      </c>
      <c r="H155" t="str">
        <f>"Cdc45"</f>
        <v>Cdc45</v>
      </c>
      <c r="I155" t="str">
        <f>"cell division cycle 45 homolog (S. cerevisiae)"</f>
        <v>cell division cycle 45 homolog (S. cerevisiae)</v>
      </c>
      <c r="J155" t="str">
        <f t="shared" si="10"/>
        <v>protein coding gene</v>
      </c>
    </row>
    <row r="156" spans="1:10">
      <c r="A156">
        <v>10499639</v>
      </c>
      <c r="B156">
        <v>6.1726163181995304</v>
      </c>
      <c r="C156">
        <v>4.5196060170502799</v>
      </c>
      <c r="E156" t="str">
        <f>"10499639"</f>
        <v>10499639</v>
      </c>
      <c r="F156" t="str">
        <f t="shared" si="8"/>
        <v>Affy 1.0 ST</v>
      </c>
      <c r="G156" t="str">
        <f>"MGI:1889208"</f>
        <v>MGI:1889208</v>
      </c>
      <c r="H156" t="str">
        <f>"Cks1b"</f>
        <v>Cks1b</v>
      </c>
      <c r="I156" t="str">
        <f>"CDC28 protein kinase 1b"</f>
        <v>CDC28 protein kinase 1b</v>
      </c>
      <c r="J156" t="str">
        <f t="shared" si="10"/>
        <v>protein coding gene</v>
      </c>
    </row>
    <row r="157" spans="1:10">
      <c r="A157">
        <v>10408239</v>
      </c>
      <c r="B157">
        <v>6.1050390644858199</v>
      </c>
      <c r="C157">
        <v>4.7885174352443904</v>
      </c>
      <c r="E157" t="str">
        <f>"10408239"</f>
        <v>10408239</v>
      </c>
      <c r="F157" t="str">
        <f t="shared" si="8"/>
        <v>Affy 1.0 ST</v>
      </c>
      <c r="G157" t="str">
        <f>"MGI:2448351"</f>
        <v>MGI:2448351</v>
      </c>
      <c r="H157" t="str">
        <f>"Hist2h3b"</f>
        <v>Hist2h3b</v>
      </c>
      <c r="I157" t="s">
        <v>2109</v>
      </c>
      <c r="J157" t="s">
        <v>2010</v>
      </c>
    </row>
    <row r="158" spans="1:10">
      <c r="A158">
        <v>10408202</v>
      </c>
      <c r="B158">
        <v>6.1038130503063996</v>
      </c>
      <c r="C158">
        <v>4.8208045725892799</v>
      </c>
      <c r="E158" t="str">
        <f>"10408202"</f>
        <v>10408202</v>
      </c>
      <c r="F158" t="str">
        <f t="shared" si="8"/>
        <v>Affy 1.0 ST</v>
      </c>
      <c r="G158" t="str">
        <f>"MGI:2448351"</f>
        <v>MGI:2448351</v>
      </c>
      <c r="H158" t="str">
        <f>"Hist2h3b"</f>
        <v>Hist2h3b</v>
      </c>
      <c r="I158" t="s">
        <v>2109</v>
      </c>
      <c r="J158" t="s">
        <v>2010</v>
      </c>
    </row>
    <row r="159" spans="1:10">
      <c r="A159">
        <v>10427166</v>
      </c>
      <c r="B159">
        <v>6.0821720627270199</v>
      </c>
      <c r="C159">
        <v>3.08706754939886</v>
      </c>
      <c r="E159" t="str">
        <f>"10427166"</f>
        <v>10427166</v>
      </c>
      <c r="F159" t="str">
        <f t="shared" si="8"/>
        <v>Affy 1.0 ST</v>
      </c>
      <c r="G159" t="str">
        <f>"MGI:2146156"</f>
        <v>MGI:2146156</v>
      </c>
      <c r="H159" t="str">
        <f>"Espl1"</f>
        <v>Espl1</v>
      </c>
      <c r="I159" t="str">
        <f>"extra spindle poles-like 1 (S. cerevisiae)"</f>
        <v>extra spindle poles-like 1 (S. cerevisiae)</v>
      </c>
      <c r="J159" t="str">
        <f>"protein coding gene"</f>
        <v>protein coding gene</v>
      </c>
    </row>
    <row r="160" spans="1:10">
      <c r="A160">
        <v>10403943</v>
      </c>
      <c r="B160">
        <v>6.0717216863843699</v>
      </c>
      <c r="C160">
        <v>4.0389706273239696</v>
      </c>
      <c r="E160" t="str">
        <f>"10403943"</f>
        <v>10403943</v>
      </c>
      <c r="F160" t="str">
        <f t="shared" si="8"/>
        <v>Affy 1.0 ST</v>
      </c>
      <c r="G160" t="str">
        <f>"MGI:2448404"</f>
        <v>MGI:2448404</v>
      </c>
      <c r="H160" t="str">
        <f>"Hist1h2bm"</f>
        <v>Hist1h2bm</v>
      </c>
      <c r="I160" t="s">
        <v>2027</v>
      </c>
      <c r="J160" t="s">
        <v>2010</v>
      </c>
    </row>
    <row r="161" spans="1:10">
      <c r="A161">
        <v>10523923</v>
      </c>
      <c r="B161">
        <v>5.9941713759436999</v>
      </c>
      <c r="C161">
        <v>2.69654318429565</v>
      </c>
      <c r="E161" t="str">
        <f>"10523923"</f>
        <v>10523923</v>
      </c>
      <c r="F161" t="str">
        <f t="shared" si="8"/>
        <v>Affy 1.0 ST</v>
      </c>
      <c r="G161" t="str">
        <f>"MGI:1922974"</f>
        <v>MGI:1922974</v>
      </c>
      <c r="H161" t="str">
        <f>"Ccdc18"</f>
        <v>Ccdc18</v>
      </c>
      <c r="I161" t="str">
        <f>"coiled-coil domain containing 18"</f>
        <v>coiled-coil domain containing 18</v>
      </c>
      <c r="J161" t="str">
        <f>"protein coding gene"</f>
        <v>protein coding gene</v>
      </c>
    </row>
    <row r="162" spans="1:10">
      <c r="A162">
        <v>10351047</v>
      </c>
      <c r="B162">
        <v>5.97586773848347</v>
      </c>
      <c r="C162">
        <v>2.5448880450612101</v>
      </c>
      <c r="E162" t="str">
        <f>"10351047"</f>
        <v>10351047</v>
      </c>
      <c r="F162" t="str">
        <f t="shared" si="8"/>
        <v>Affy 1.0 ST</v>
      </c>
      <c r="G162" t="str">
        <f>"MGI:1917704"</f>
        <v>MGI:1917704</v>
      </c>
      <c r="H162" t="str">
        <f>"Cenpl"</f>
        <v>Cenpl</v>
      </c>
      <c r="I162" t="str">
        <f>"centromere protein L"</f>
        <v>centromere protein L</v>
      </c>
      <c r="J162" t="str">
        <f>"protein coding gene"</f>
        <v>protein coding gene</v>
      </c>
    </row>
    <row r="163" spans="1:10">
      <c r="A163">
        <v>10548086</v>
      </c>
      <c r="B163">
        <v>5.8729739356010002</v>
      </c>
      <c r="C163">
        <v>3.6321379282397301</v>
      </c>
      <c r="E163" t="str">
        <f>"10548086"</f>
        <v>10548086</v>
      </c>
      <c r="F163" t="str">
        <f t="shared" si="8"/>
        <v>Affy 1.0 ST</v>
      </c>
      <c r="G163" t="str">
        <f>"MGI:1098224"</f>
        <v>MGI:1098224</v>
      </c>
      <c r="H163" t="str">
        <f>"Rad51ap1"</f>
        <v>Rad51ap1</v>
      </c>
      <c r="I163" t="str">
        <f>"RAD51 associated protein 1"</f>
        <v>RAD51 associated protein 1</v>
      </c>
      <c r="J163" t="str">
        <f>"protein coding gene"</f>
        <v>protein coding gene</v>
      </c>
    </row>
    <row r="164" spans="1:10">
      <c r="A164">
        <v>10500333</v>
      </c>
      <c r="B164">
        <v>5.8526070633138598</v>
      </c>
      <c r="C164">
        <v>3.5615018221483199</v>
      </c>
      <c r="E164" t="str">
        <f>"10500333"</f>
        <v>10500333</v>
      </c>
      <c r="F164" t="str">
        <f t="shared" si="8"/>
        <v>Affy 1.0 ST</v>
      </c>
      <c r="G164" t="str">
        <f>"MGI:2140113"</f>
        <v>MGI:2140113</v>
      </c>
      <c r="H164" t="str">
        <f>"Hist2h4"</f>
        <v>Hist2h4</v>
      </c>
      <c r="I164" t="s">
        <v>2004</v>
      </c>
      <c r="J164" t="s">
        <v>2010</v>
      </c>
    </row>
    <row r="165" spans="1:10">
      <c r="A165">
        <v>10476252</v>
      </c>
      <c r="B165">
        <v>5.7588638541834101</v>
      </c>
      <c r="C165">
        <v>0.34008656458860298</v>
      </c>
      <c r="E165" t="str">
        <f>"10476252"</f>
        <v>10476252</v>
      </c>
      <c r="F165" t="str">
        <f t="shared" si="8"/>
        <v>Affy 1.0 ST</v>
      </c>
      <c r="G165" t="str">
        <f>"MGI:99701"</f>
        <v>MGI:99701</v>
      </c>
      <c r="H165" t="str">
        <f>"Cdc25b"</f>
        <v>Cdc25b</v>
      </c>
      <c r="I165" t="str">
        <f>"cell division cycle 25 homolog B (S. pombe)"</f>
        <v>cell division cycle 25 homolog B (S. pombe)</v>
      </c>
      <c r="J165" t="str">
        <f>"protein coding gene"</f>
        <v>protein coding gene</v>
      </c>
    </row>
    <row r="166" spans="1:10">
      <c r="A166">
        <v>10408092</v>
      </c>
      <c r="B166">
        <v>5.7511005314794401</v>
      </c>
      <c r="C166">
        <v>4.3829821419188804</v>
      </c>
      <c r="E166" t="str">
        <f>"10408092"</f>
        <v>10408092</v>
      </c>
      <c r="F166" t="str">
        <f t="shared" si="8"/>
        <v>Affy 1.0 ST</v>
      </c>
      <c r="G166" t="str">
        <f>"MGI:2448441"</f>
        <v>MGI:2448441</v>
      </c>
      <c r="H166" t="str">
        <f>"Hist1h4m"</f>
        <v>Hist1h4m</v>
      </c>
      <c r="I166" t="s">
        <v>2150</v>
      </c>
      <c r="J166" t="s">
        <v>2010</v>
      </c>
    </row>
    <row r="167" spans="1:10">
      <c r="A167">
        <v>10405189</v>
      </c>
      <c r="B167">
        <v>5.7490305111279598</v>
      </c>
      <c r="C167">
        <v>2.8302780264355101</v>
      </c>
      <c r="E167" t="str">
        <f>"10405189"</f>
        <v>10405189</v>
      </c>
      <c r="F167" t="str">
        <f>""</f>
        <v/>
      </c>
      <c r="G167" t="str">
        <f>"No associated gene"</f>
        <v>No associated gene</v>
      </c>
    </row>
    <row r="168" spans="1:10">
      <c r="A168">
        <v>10592058</v>
      </c>
      <c r="B168">
        <v>5.7188807859964301</v>
      </c>
      <c r="C168">
        <v>4.54710410975727</v>
      </c>
      <c r="E168" t="str">
        <f>"10592058"</f>
        <v>10592058</v>
      </c>
      <c r="F168" t="str">
        <f t="shared" ref="F168:F184" si="11">"Affy 1.0 ST"</f>
        <v>Affy 1.0 ST</v>
      </c>
      <c r="G168" t="str">
        <f>"MGI:107804"</f>
        <v>MGI:107804</v>
      </c>
      <c r="H168" t="str">
        <f>"Tuba1b"</f>
        <v>Tuba1b</v>
      </c>
      <c r="I168" t="s">
        <v>2005</v>
      </c>
      <c r="J168" t="s">
        <v>2010</v>
      </c>
    </row>
    <row r="169" spans="1:10">
      <c r="A169">
        <v>10438091</v>
      </c>
      <c r="B169">
        <v>5.62630133156458</v>
      </c>
      <c r="C169">
        <v>2.5690999962446401</v>
      </c>
      <c r="E169" t="str">
        <f>"10438091"</f>
        <v>10438091</v>
      </c>
      <c r="F169" t="str">
        <f t="shared" si="11"/>
        <v>Affy 1.0 ST</v>
      </c>
      <c r="G169" t="str">
        <f>"MGI:1917708"</f>
        <v>MGI:1917708</v>
      </c>
      <c r="H169" t="str">
        <f>"2610318N02Rik"</f>
        <v>2610318N02Rik</v>
      </c>
      <c r="I169" t="str">
        <f>"RIKEN cDNA 2610318N02 gene"</f>
        <v>RIKEN cDNA 2610318N02 gene</v>
      </c>
      <c r="J169" t="str">
        <f>"protein coding gene"</f>
        <v>protein coding gene</v>
      </c>
    </row>
    <row r="170" spans="1:10">
      <c r="A170">
        <v>10480087</v>
      </c>
      <c r="B170">
        <v>5.6207947666875304</v>
      </c>
      <c r="C170">
        <v>2.5530173013981199</v>
      </c>
      <c r="E170" t="str">
        <f>"10480087"</f>
        <v>10480087</v>
      </c>
      <c r="F170" t="str">
        <f t="shared" si="11"/>
        <v>Affy 1.0 ST</v>
      </c>
      <c r="G170" t="str">
        <f>"MGI:3650665"</f>
        <v>MGI:3650665</v>
      </c>
      <c r="H170" t="str">
        <f>"Gm13310"</f>
        <v>Gm13310</v>
      </c>
      <c r="I170" t="str">
        <f>"predicted gene 13310"</f>
        <v>predicted gene 13310</v>
      </c>
      <c r="J170" t="str">
        <f>"pseudogene"</f>
        <v>pseudogene</v>
      </c>
    </row>
    <row r="171" spans="1:10">
      <c r="A171">
        <v>10455967</v>
      </c>
      <c r="B171">
        <v>5.6063904632309898</v>
      </c>
      <c r="C171">
        <v>2.04055126168657</v>
      </c>
      <c r="E171" t="str">
        <f>"10455967"</f>
        <v>10455967</v>
      </c>
      <c r="F171" t="str">
        <f t="shared" si="11"/>
        <v>Affy 1.0 ST</v>
      </c>
      <c r="G171" t="str">
        <f>"MGI:1917708"</f>
        <v>MGI:1917708</v>
      </c>
      <c r="H171" t="str">
        <f>"2610318N02Rik"</f>
        <v>2610318N02Rik</v>
      </c>
      <c r="I171" t="str">
        <f>"RIKEN cDNA 2610318N02 gene"</f>
        <v>RIKEN cDNA 2610318N02 gene</v>
      </c>
      <c r="J171" t="str">
        <f>"protein coding gene"</f>
        <v>protein coding gene</v>
      </c>
    </row>
    <row r="172" spans="1:10">
      <c r="A172">
        <v>10572906</v>
      </c>
      <c r="B172">
        <v>5.5688495218352001</v>
      </c>
      <c r="C172">
        <v>4.5054086042063899</v>
      </c>
      <c r="E172" t="str">
        <f>"10572906"</f>
        <v>10572906</v>
      </c>
      <c r="F172" t="str">
        <f t="shared" si="11"/>
        <v>Affy 1.0 ST</v>
      </c>
      <c r="G172" t="str">
        <f>"MGI:103197"</f>
        <v>MGI:103197</v>
      </c>
      <c r="H172" t="str">
        <f>"Mcm5"</f>
        <v>Mcm5</v>
      </c>
      <c r="I172" t="s">
        <v>2157</v>
      </c>
      <c r="J172" t="s">
        <v>2010</v>
      </c>
    </row>
    <row r="173" spans="1:10">
      <c r="A173">
        <v>10408081</v>
      </c>
      <c r="B173">
        <v>5.5649220226051002</v>
      </c>
      <c r="C173">
        <v>3.8924819878805201</v>
      </c>
      <c r="E173" t="str">
        <f>"10408081"</f>
        <v>10408081</v>
      </c>
      <c r="F173" t="str">
        <f t="shared" si="11"/>
        <v>Affy 1.0 ST</v>
      </c>
      <c r="G173" t="str">
        <f>"MGI:1861461"</f>
        <v>MGI:1861461</v>
      </c>
      <c r="H173" t="str">
        <f>"Hist1h1b"</f>
        <v>Hist1h1b</v>
      </c>
      <c r="I173" t="s">
        <v>2009</v>
      </c>
      <c r="J173" t="s">
        <v>2010</v>
      </c>
    </row>
    <row r="174" spans="1:10">
      <c r="A174">
        <v>10352709</v>
      </c>
      <c r="B174">
        <v>5.5256077140241997</v>
      </c>
      <c r="C174">
        <v>3.4534161605856601</v>
      </c>
      <c r="E174" t="str">
        <f>"10352709"</f>
        <v>10352709</v>
      </c>
      <c r="F174" t="str">
        <f t="shared" si="11"/>
        <v>Affy 1.0 ST</v>
      </c>
      <c r="G174" t="str">
        <f>"MGI:2685830"</f>
        <v>MGI:2685830</v>
      </c>
      <c r="H174" t="str">
        <f>"Nsl1"</f>
        <v>Nsl1</v>
      </c>
      <c r="I174" t="s">
        <v>1975</v>
      </c>
      <c r="J174" t="s">
        <v>2010</v>
      </c>
    </row>
    <row r="175" spans="1:10">
      <c r="A175">
        <v>10486255</v>
      </c>
      <c r="B175">
        <v>5.4813507151805796</v>
      </c>
      <c r="C175">
        <v>3.2368264417336201</v>
      </c>
      <c r="E175" t="str">
        <f>"10486255"</f>
        <v>10486255</v>
      </c>
      <c r="F175" t="str">
        <f t="shared" si="11"/>
        <v>Affy 1.0 ST</v>
      </c>
      <c r="G175" t="str">
        <f>"MGI:1917895"</f>
        <v>MGI:1917895</v>
      </c>
      <c r="H175" t="str">
        <f>"Oip5"</f>
        <v>Oip5</v>
      </c>
      <c r="I175" t="str">
        <f>"Opa interacting protein 5"</f>
        <v>Opa interacting protein 5</v>
      </c>
      <c r="J175" t="str">
        <f>"protein coding gene"</f>
        <v>protein coding gene</v>
      </c>
    </row>
    <row r="176" spans="1:10">
      <c r="A176">
        <v>10426669</v>
      </c>
      <c r="B176">
        <v>5.4675858003881403</v>
      </c>
      <c r="C176">
        <v>3.1305405511033202</v>
      </c>
      <c r="E176" t="str">
        <f>"10426669"</f>
        <v>10426669</v>
      </c>
      <c r="F176" t="str">
        <f t="shared" si="11"/>
        <v>Affy 1.0 ST</v>
      </c>
      <c r="G176" t="str">
        <f>"MGI:1925983"</f>
        <v>MGI:1925983</v>
      </c>
      <c r="H176" t="str">
        <f>"Troap"</f>
        <v>Troap</v>
      </c>
      <c r="I176" t="str">
        <f>"trophinin associated protein"</f>
        <v>trophinin associated protein</v>
      </c>
      <c r="J176" t="str">
        <f>"protein coding gene"</f>
        <v>protein coding gene</v>
      </c>
    </row>
    <row r="177" spans="1:10">
      <c r="A177">
        <v>10495935</v>
      </c>
      <c r="B177">
        <v>5.4664043029537801</v>
      </c>
      <c r="C177">
        <v>3.7259092605667798</v>
      </c>
      <c r="E177" t="str">
        <f>"10495935"</f>
        <v>10495935</v>
      </c>
      <c r="F177" t="str">
        <f t="shared" si="11"/>
        <v>Affy 1.0 ST</v>
      </c>
      <c r="G177" t="str">
        <f>"MGI:1918893"</f>
        <v>MGI:1918893</v>
      </c>
      <c r="H177" t="str">
        <f>"4930422G04Rik"</f>
        <v>4930422G04Rik</v>
      </c>
      <c r="I177" t="str">
        <f>"RIKEN cDNA 4930422G04 gene"</f>
        <v>RIKEN cDNA 4930422G04 gene</v>
      </c>
      <c r="J177" t="str">
        <f>"protein coding gene"</f>
        <v>protein coding gene</v>
      </c>
    </row>
    <row r="178" spans="1:10">
      <c r="A178">
        <v>10489078</v>
      </c>
      <c r="B178">
        <v>5.4503728206842101</v>
      </c>
      <c r="C178">
        <v>3.8618634724255898</v>
      </c>
      <c r="E178" t="str">
        <f>"10489078"</f>
        <v>10489078</v>
      </c>
      <c r="F178" t="str">
        <f t="shared" si="11"/>
        <v>Affy 1.0 ST</v>
      </c>
      <c r="G178" t="str">
        <f>"MGI:1914184"</f>
        <v>MGI:1914184</v>
      </c>
      <c r="H178" t="str">
        <f>"Dsn1"</f>
        <v>Dsn1</v>
      </c>
      <c r="I178" t="s">
        <v>2066</v>
      </c>
      <c r="J178" t="s">
        <v>2010</v>
      </c>
    </row>
    <row r="179" spans="1:10">
      <c r="A179">
        <v>10413710</v>
      </c>
      <c r="B179">
        <v>5.4218589970161197</v>
      </c>
      <c r="C179">
        <v>3.4038146055121499</v>
      </c>
      <c r="E179" t="str">
        <f>"10413710"</f>
        <v>10413710</v>
      </c>
      <c r="F179" t="str">
        <f t="shared" si="11"/>
        <v>Affy 1.0 ST</v>
      </c>
      <c r="G179" t="str">
        <f>"MGI:1917271"</f>
        <v>MGI:1917271</v>
      </c>
      <c r="H179" t="str">
        <f>"Nt5dc2"</f>
        <v>Nt5dc2</v>
      </c>
      <c r="I179" t="str">
        <f>"5'-nucleotidase domain containing 2"</f>
        <v>5'-nucleotidase domain containing 2</v>
      </c>
      <c r="J179" t="str">
        <f>"protein coding gene"</f>
        <v>protein coding gene</v>
      </c>
    </row>
    <row r="180" spans="1:10">
      <c r="A180">
        <v>10408085</v>
      </c>
      <c r="B180">
        <v>5.3835360594582697</v>
      </c>
      <c r="C180">
        <v>4.1078971846008097</v>
      </c>
      <c r="E180" t="str">
        <f>"10408085"</f>
        <v>10408085</v>
      </c>
      <c r="F180" t="str">
        <f t="shared" si="11"/>
        <v>Affy 1.0 ST</v>
      </c>
      <c r="G180" t="str">
        <f>"MGI:2448300"</f>
        <v>MGI:2448300</v>
      </c>
      <c r="H180" t="str">
        <f>"Hist1h2an"</f>
        <v>Hist1h2an</v>
      </c>
      <c r="I180" t="s">
        <v>2024</v>
      </c>
      <c r="J180" t="s">
        <v>2010</v>
      </c>
    </row>
    <row r="181" spans="1:10">
      <c r="A181">
        <v>10432398</v>
      </c>
      <c r="B181">
        <v>5.3465098711625201</v>
      </c>
      <c r="C181">
        <v>3.89558480175487</v>
      </c>
      <c r="E181" t="str">
        <f>"10432398"</f>
        <v>10432398</v>
      </c>
      <c r="F181" t="str">
        <f t="shared" si="11"/>
        <v>Affy 1.0 ST</v>
      </c>
      <c r="G181" t="str">
        <f>"MGI:107804"</f>
        <v>MGI:107804</v>
      </c>
      <c r="H181" t="str">
        <f>"Tuba1b"</f>
        <v>Tuba1b</v>
      </c>
      <c r="I181" t="s">
        <v>2005</v>
      </c>
      <c r="J181" t="s">
        <v>2010</v>
      </c>
    </row>
    <row r="182" spans="1:10">
      <c r="A182">
        <v>10408077</v>
      </c>
      <c r="B182">
        <v>5.3205265325129298</v>
      </c>
      <c r="C182">
        <v>3.8503741563514802</v>
      </c>
      <c r="E182" t="str">
        <f>"10408077"</f>
        <v>10408077</v>
      </c>
      <c r="F182" t="str">
        <f t="shared" si="11"/>
        <v>Affy 1.0 ST</v>
      </c>
      <c r="G182" t="str">
        <f>"MGI:2448297"</f>
        <v>MGI:2448297</v>
      </c>
      <c r="H182" t="str">
        <f>"Hist1h2ak"</f>
        <v>Hist1h2ak</v>
      </c>
      <c r="I182" t="s">
        <v>2110</v>
      </c>
      <c r="J182" t="s">
        <v>2010</v>
      </c>
    </row>
    <row r="183" spans="1:10">
      <c r="A183">
        <v>10435581</v>
      </c>
      <c r="B183">
        <v>5.3070320728196902</v>
      </c>
      <c r="C183">
        <v>3.1542793961586399</v>
      </c>
      <c r="E183" t="str">
        <f>"10435581"</f>
        <v>10435581</v>
      </c>
      <c r="F183" t="str">
        <f t="shared" si="11"/>
        <v>Affy 1.0 ST</v>
      </c>
      <c r="G183" t="str">
        <f>"MGI:2155399"</f>
        <v>MGI:2155399</v>
      </c>
      <c r="H183" t="str">
        <f>"Polq"</f>
        <v>Polq</v>
      </c>
      <c r="I183" t="s">
        <v>2183</v>
      </c>
      <c r="J183" t="s">
        <v>2010</v>
      </c>
    </row>
    <row r="184" spans="1:10">
      <c r="A184">
        <v>10428763</v>
      </c>
      <c r="B184">
        <v>5.28784425336874</v>
      </c>
      <c r="C184">
        <v>3.7653788964961001</v>
      </c>
      <c r="E184" t="str">
        <f>"10428763"</f>
        <v>10428763</v>
      </c>
      <c r="F184" t="str">
        <f t="shared" si="11"/>
        <v>Affy 1.0 ST</v>
      </c>
      <c r="G184" t="str">
        <f>"MGI:1917722"</f>
        <v>MGI:1917722</v>
      </c>
      <c r="H184" t="str">
        <f>"Atad2"</f>
        <v>Atad2</v>
      </c>
      <c r="I184" t="s">
        <v>2065</v>
      </c>
      <c r="J184" t="s">
        <v>2010</v>
      </c>
    </row>
    <row r="185" spans="1:10">
      <c r="A185">
        <v>10568731</v>
      </c>
      <c r="B185">
        <v>5.2761530324406101</v>
      </c>
      <c r="C185">
        <v>0.81746529380274702</v>
      </c>
      <c r="E185" t="str">
        <f>"10568731"</f>
        <v>10568731</v>
      </c>
      <c r="F185" t="str">
        <f>""</f>
        <v/>
      </c>
      <c r="G185" t="str">
        <f>"No associated gene"</f>
        <v>No associated gene</v>
      </c>
    </row>
    <row r="186" spans="1:10">
      <c r="A186">
        <v>10476989</v>
      </c>
      <c r="B186">
        <v>5.2615788806255601</v>
      </c>
      <c r="C186">
        <v>3.4276101636365301</v>
      </c>
      <c r="E186" t="str">
        <f>"10476989"</f>
        <v>10476989</v>
      </c>
      <c r="F186" t="str">
        <f t="shared" ref="F186:F192" si="12">"Affy 1.0 ST"</f>
        <v>Affy 1.0 ST</v>
      </c>
      <c r="G186" t="str">
        <f>"MGI:1916520"</f>
        <v>MGI:1916520</v>
      </c>
      <c r="H186" t="str">
        <f>"Gins1"</f>
        <v>Gins1</v>
      </c>
      <c r="I186" t="str">
        <f>"GINS complex subunit 1 (Psf1 homolog)"</f>
        <v>GINS complex subunit 1 (Psf1 homolog)</v>
      </c>
      <c r="J186" t="str">
        <f>"protein coding gene"</f>
        <v>protein coding gene</v>
      </c>
    </row>
    <row r="187" spans="1:10">
      <c r="A187">
        <v>10378053</v>
      </c>
      <c r="B187">
        <v>5.1931467360809398</v>
      </c>
      <c r="C187">
        <v>3.9965629859753702</v>
      </c>
      <c r="E187" t="str">
        <f>"10378053"</f>
        <v>10378053</v>
      </c>
      <c r="F187" t="str">
        <f t="shared" si="12"/>
        <v>Affy 1.0 ST</v>
      </c>
      <c r="G187" t="str">
        <f>"MGI:1924434"</f>
        <v>MGI:1924434</v>
      </c>
      <c r="H187" t="str">
        <f>"Fam64a"</f>
        <v>Fam64a</v>
      </c>
      <c r="I187" t="s">
        <v>2006</v>
      </c>
      <c r="J187" t="s">
        <v>2010</v>
      </c>
    </row>
    <row r="188" spans="1:10">
      <c r="A188">
        <v>10487930</v>
      </c>
      <c r="B188">
        <v>5.1284338073074798</v>
      </c>
      <c r="C188">
        <v>3.8329536988258401</v>
      </c>
      <c r="E188" t="str">
        <f>"10487930"</f>
        <v>10487930</v>
      </c>
      <c r="F188" t="str">
        <f t="shared" si="12"/>
        <v>Affy 1.0 ST</v>
      </c>
      <c r="G188" t="str">
        <f>"MGI:97503"</f>
        <v>MGI:97503</v>
      </c>
      <c r="H188" t="str">
        <f>"Pcna"</f>
        <v>Pcna</v>
      </c>
      <c r="I188" t="str">
        <f>"proliferating cell nuclear antigen"</f>
        <v>proliferating cell nuclear antigen</v>
      </c>
      <c r="J188" t="str">
        <f>"protein coding gene"</f>
        <v>protein coding gene</v>
      </c>
    </row>
    <row r="189" spans="1:10">
      <c r="A189">
        <v>10424221</v>
      </c>
      <c r="B189">
        <v>5.0927364741596799</v>
      </c>
      <c r="C189">
        <v>3.29683582229179</v>
      </c>
      <c r="E189" t="str">
        <f>"10424221"</f>
        <v>10424221</v>
      </c>
      <c r="F189" t="str">
        <f t="shared" si="12"/>
        <v>Affy 1.0 ST</v>
      </c>
      <c r="G189" t="str">
        <f>"MGI:2684931"</f>
        <v>MGI:2684931</v>
      </c>
      <c r="H189" t="str">
        <f>"Wdr67"</f>
        <v>Wdr67</v>
      </c>
      <c r="I189" t="str">
        <f>"WD repeat domain 67"</f>
        <v>WD repeat domain 67</v>
      </c>
      <c r="J189" t="str">
        <f>"protein coding gene"</f>
        <v>protein coding gene</v>
      </c>
    </row>
    <row r="190" spans="1:10">
      <c r="A190">
        <v>10529299</v>
      </c>
      <c r="B190">
        <v>5.0664329354637196</v>
      </c>
      <c r="C190">
        <v>3.8879393246335199</v>
      </c>
      <c r="E190" t="str">
        <f>"10529299"</f>
        <v>10529299</v>
      </c>
      <c r="F190" t="str">
        <f t="shared" si="12"/>
        <v>Affy 1.0 ST</v>
      </c>
      <c r="G190" t="str">
        <f>"MGI:108402"</f>
        <v>MGI:108402</v>
      </c>
      <c r="H190" t="str">
        <f>"Slbp"</f>
        <v>Slbp</v>
      </c>
      <c r="I190" t="str">
        <f>"stem-loop binding protein"</f>
        <v>stem-loop binding protein</v>
      </c>
      <c r="J190" t="str">
        <f>"protein coding gene"</f>
        <v>protein coding gene</v>
      </c>
    </row>
    <row r="191" spans="1:10">
      <c r="A191">
        <v>10565570</v>
      </c>
      <c r="B191">
        <v>5.05823022071006</v>
      </c>
      <c r="C191">
        <v>2.7825993461999898</v>
      </c>
      <c r="E191" t="str">
        <f>"10565570"</f>
        <v>10565570</v>
      </c>
      <c r="F191" t="str">
        <f t="shared" si="12"/>
        <v>Affy 1.0 ST</v>
      </c>
      <c r="G191" t="str">
        <f>"MGI:1921291"</f>
        <v>MGI:1921291</v>
      </c>
      <c r="H191" t="str">
        <f>"4632434I11Rik"</f>
        <v>4632434I11Rik</v>
      </c>
      <c r="I191" t="str">
        <f>"RIKEN cDNA 4632434I11 gene"</f>
        <v>RIKEN cDNA 4632434I11 gene</v>
      </c>
      <c r="J191" t="str">
        <f>"protein coding gene"</f>
        <v>protein coding gene</v>
      </c>
    </row>
    <row r="192" spans="1:10">
      <c r="A192">
        <v>10537246</v>
      </c>
      <c r="B192">
        <v>5.0549850795252098</v>
      </c>
      <c r="C192">
        <v>3.3259226056735902</v>
      </c>
      <c r="E192" t="str">
        <f>"10537246"</f>
        <v>10537246</v>
      </c>
      <c r="F192" t="str">
        <f t="shared" si="12"/>
        <v>Affy 1.0 ST</v>
      </c>
      <c r="G192" t="str">
        <f>"MGI:2141625"</f>
        <v>MGI:2141625</v>
      </c>
      <c r="H192" t="str">
        <f>"Nup205"</f>
        <v>Nup205</v>
      </c>
      <c r="I192" t="str">
        <f>"nucleoporin 205"</f>
        <v>nucleoporin 205</v>
      </c>
      <c r="J192" t="str">
        <f>"protein coding gene"</f>
        <v>protein coding gene</v>
      </c>
    </row>
    <row r="193" spans="1:10">
      <c r="A193">
        <v>10453715</v>
      </c>
      <c r="B193">
        <v>5.0328743325530896</v>
      </c>
      <c r="C193">
        <v>3.5499205139192802</v>
      </c>
      <c r="E193" t="str">
        <f>"10453715"</f>
        <v>10453715</v>
      </c>
      <c r="F193" t="str">
        <f>""</f>
        <v/>
      </c>
      <c r="G193" t="str">
        <f>"No associated gene"</f>
        <v>No associated gene</v>
      </c>
    </row>
    <row r="194" spans="1:10">
      <c r="A194">
        <v>10540999</v>
      </c>
      <c r="B194">
        <v>5.0074754013844904</v>
      </c>
      <c r="C194">
        <v>3.7608665524849498</v>
      </c>
      <c r="E194" t="str">
        <f>"10540999"</f>
        <v>10540999</v>
      </c>
      <c r="F194" t="str">
        <f t="shared" ref="F194:F232" si="13">"Affy 1.0 ST"</f>
        <v>Affy 1.0 ST</v>
      </c>
      <c r="G194" t="str">
        <f>"MGI:1888388"</f>
        <v>MGI:1888388</v>
      </c>
      <c r="H194" t="str">
        <f>"H2afz"</f>
        <v>H2afz</v>
      </c>
      <c r="I194" t="s">
        <v>2007</v>
      </c>
      <c r="J194" t="s">
        <v>2010</v>
      </c>
    </row>
    <row r="195" spans="1:10">
      <c r="A195">
        <v>10355329</v>
      </c>
      <c r="B195">
        <v>4.9983132116291697</v>
      </c>
      <c r="C195">
        <v>2.61531508620561</v>
      </c>
      <c r="E195" t="str">
        <f>"10355329"</f>
        <v>10355329</v>
      </c>
      <c r="F195" t="str">
        <f t="shared" si="13"/>
        <v>Affy 1.0 ST</v>
      </c>
      <c r="G195" t="str">
        <f>"MGI:1328361"</f>
        <v>MGI:1328361</v>
      </c>
      <c r="H195" t="str">
        <f>"Bard1"</f>
        <v>Bard1</v>
      </c>
      <c r="I195" t="str">
        <f>"BRCA1 associated RING domain 1"</f>
        <v>BRCA1 associated RING domain 1</v>
      </c>
      <c r="J195" t="str">
        <f>"protein coding gene"</f>
        <v>protein coding gene</v>
      </c>
    </row>
    <row r="196" spans="1:10">
      <c r="A196">
        <v>10414315</v>
      </c>
      <c r="B196">
        <v>4.9973689204589196</v>
      </c>
      <c r="C196">
        <v>2.14443093321254</v>
      </c>
      <c r="E196" t="str">
        <f>"10414315"</f>
        <v>10414315</v>
      </c>
      <c r="F196" t="str">
        <f t="shared" si="13"/>
        <v>Affy 1.0 ST</v>
      </c>
      <c r="G196" t="str">
        <f>"MGI:1919641"</f>
        <v>MGI:1919641</v>
      </c>
      <c r="H196" t="str">
        <f>"Cdkn3"</f>
        <v>Cdkn3</v>
      </c>
      <c r="I196" t="str">
        <f>"cyclin-dependent kinase inhibitor 3"</f>
        <v>cyclin-dependent kinase inhibitor 3</v>
      </c>
      <c r="J196" t="str">
        <f>"protein coding gene"</f>
        <v>protein coding gene</v>
      </c>
    </row>
    <row r="197" spans="1:10">
      <c r="A197">
        <v>10363575</v>
      </c>
      <c r="B197">
        <v>4.9711289813384303</v>
      </c>
      <c r="C197">
        <v>3.2145820287054301</v>
      </c>
      <c r="E197" t="str">
        <f>"10363575"</f>
        <v>10363575</v>
      </c>
      <c r="F197" t="str">
        <f t="shared" si="13"/>
        <v>Affy 1.0 ST</v>
      </c>
      <c r="G197" t="str">
        <f>"MGI:2443732"</f>
        <v>MGI:2443732</v>
      </c>
      <c r="H197" t="str">
        <f>"Dna2"</f>
        <v>Dna2</v>
      </c>
      <c r="I197" t="str">
        <f>"DNA replication helicase 2 homolog (yeast)"</f>
        <v>DNA replication helicase 2 homolog (yeast)</v>
      </c>
      <c r="J197" t="str">
        <f>"protein coding gene"</f>
        <v>protein coding gene</v>
      </c>
    </row>
    <row r="198" spans="1:10">
      <c r="A198">
        <v>10412559</v>
      </c>
      <c r="B198">
        <v>4.9672575588600099</v>
      </c>
      <c r="C198">
        <v>3.6313575864146399</v>
      </c>
      <c r="E198" t="str">
        <f>"10412559"</f>
        <v>10412559</v>
      </c>
      <c r="F198" t="str">
        <f t="shared" si="13"/>
        <v>Affy 1.0 ST</v>
      </c>
      <c r="G198" t="str">
        <f>"MGI:108402"</f>
        <v>MGI:108402</v>
      </c>
      <c r="H198" t="str">
        <f>"Slbp"</f>
        <v>Slbp</v>
      </c>
      <c r="I198" t="str">
        <f>"stem-loop binding protein"</f>
        <v>stem-loop binding protein</v>
      </c>
      <c r="J198" t="str">
        <f>"protein coding gene"</f>
        <v>protein coding gene</v>
      </c>
    </row>
    <row r="199" spans="1:10">
      <c r="A199">
        <v>10494405</v>
      </c>
      <c r="B199">
        <v>4.9652735121937397</v>
      </c>
      <c r="C199">
        <v>3.6783423303026899</v>
      </c>
      <c r="E199" t="str">
        <f>"10494405"</f>
        <v>10494405</v>
      </c>
      <c r="F199" t="str">
        <f t="shared" si="13"/>
        <v>Affy 1.0 ST</v>
      </c>
      <c r="G199" t="str">
        <f>"MGI:2448351"</f>
        <v>MGI:2448351</v>
      </c>
      <c r="H199" t="str">
        <f>"Hist2h3b"</f>
        <v>Hist2h3b</v>
      </c>
      <c r="I199" t="s">
        <v>2109</v>
      </c>
      <c r="J199" t="s">
        <v>2010</v>
      </c>
    </row>
    <row r="200" spans="1:10">
      <c r="A200">
        <v>10503315</v>
      </c>
      <c r="B200">
        <v>4.9610973809204797</v>
      </c>
      <c r="C200">
        <v>3.4172127311895202</v>
      </c>
      <c r="E200" t="str">
        <f>"10503315"</f>
        <v>10503315</v>
      </c>
      <c r="F200" t="str">
        <f t="shared" si="13"/>
        <v>Affy 1.0 ST</v>
      </c>
      <c r="G200" t="str">
        <f>"MGI:3605986"</f>
        <v>MGI:3605986</v>
      </c>
      <c r="H200" t="str">
        <f>"Rad54b"</f>
        <v>Rad54b</v>
      </c>
      <c r="I200" t="str">
        <f>"RAD54 homolog B (S. cerevisiae)"</f>
        <v>RAD54 homolog B (S. cerevisiae)</v>
      </c>
      <c r="J200" t="str">
        <f>"protein coding gene"</f>
        <v>protein coding gene</v>
      </c>
    </row>
    <row r="201" spans="1:10">
      <c r="A201">
        <v>10408118</v>
      </c>
      <c r="B201">
        <v>4.9422140759063602</v>
      </c>
      <c r="C201">
        <v>3.38364443827352</v>
      </c>
      <c r="E201" t="str">
        <f>"10408118"</f>
        <v>10408118</v>
      </c>
      <c r="F201" t="str">
        <f t="shared" si="13"/>
        <v>Affy 1.0 ST</v>
      </c>
      <c r="G201" t="str">
        <f>"MGI:3710573"</f>
        <v>MGI:3710573</v>
      </c>
      <c r="H201" t="str">
        <f>"Hist1h2ap"</f>
        <v>Hist1h2ap</v>
      </c>
      <c r="I201" t="s">
        <v>2029</v>
      </c>
      <c r="J201" t="s">
        <v>2010</v>
      </c>
    </row>
    <row r="202" spans="1:10">
      <c r="A202">
        <v>10416655</v>
      </c>
      <c r="B202">
        <v>4.94179051013439</v>
      </c>
      <c r="C202">
        <v>2.53672770870251</v>
      </c>
      <c r="E202" t="str">
        <f>"10416655"</f>
        <v>10416655</v>
      </c>
      <c r="F202" t="str">
        <f t="shared" si="13"/>
        <v>Affy 1.0 ST</v>
      </c>
      <c r="G202" t="str">
        <f>"MGI:3643058"</f>
        <v>MGI:3643058</v>
      </c>
      <c r="H202" t="str">
        <f>"Gm5465"</f>
        <v>Gm5465</v>
      </c>
      <c r="I202" t="str">
        <f>"predicted gene 5465"</f>
        <v>predicted gene 5465</v>
      </c>
      <c r="J202" t="str">
        <f>"protein coding gene"</f>
        <v>protein coding gene</v>
      </c>
    </row>
    <row r="203" spans="1:10">
      <c r="A203">
        <v>10478160</v>
      </c>
      <c r="B203">
        <v>4.9293012175723003</v>
      </c>
      <c r="C203">
        <v>2.2315328295736401</v>
      </c>
      <c r="E203" t="str">
        <f>"10478160"</f>
        <v>10478160</v>
      </c>
      <c r="F203" t="str">
        <f t="shared" si="13"/>
        <v>Affy 1.0 ST</v>
      </c>
      <c r="G203" t="str">
        <f>"MGI:1919128"</f>
        <v>MGI:1919128</v>
      </c>
      <c r="H203" t="str">
        <f>"Fam83d"</f>
        <v>Fam83d</v>
      </c>
      <c r="I203" t="s">
        <v>1932</v>
      </c>
      <c r="J203" t="s">
        <v>2010</v>
      </c>
    </row>
    <row r="204" spans="1:10">
      <c r="A204">
        <v>10495794</v>
      </c>
      <c r="B204">
        <v>4.9159715952115803</v>
      </c>
      <c r="C204">
        <v>1.5432413491571599</v>
      </c>
      <c r="E204" t="str">
        <f>"10495794"</f>
        <v>10495794</v>
      </c>
      <c r="F204" t="str">
        <f t="shared" si="13"/>
        <v>Affy 1.0 ST</v>
      </c>
      <c r="G204" t="str">
        <f>"MGI:2651499"</f>
        <v>MGI:2651499</v>
      </c>
      <c r="H204" t="str">
        <f>"Pde5a"</f>
        <v>Pde5a</v>
      </c>
      <c r="I204" t="s">
        <v>1933</v>
      </c>
      <c r="J204" t="s">
        <v>2010</v>
      </c>
    </row>
    <row r="205" spans="1:10">
      <c r="A205">
        <v>10501402</v>
      </c>
      <c r="B205">
        <v>4.9130106600928398</v>
      </c>
      <c r="C205">
        <v>1.7514369747387399</v>
      </c>
      <c r="E205" t="str">
        <f>"10501402"</f>
        <v>10501402</v>
      </c>
      <c r="F205" t="str">
        <f t="shared" si="13"/>
        <v>Affy 1.0 ST</v>
      </c>
      <c r="G205" t="str">
        <f>"MGI:1923373"</f>
        <v>MGI:1923373</v>
      </c>
      <c r="H205" t="str">
        <f>"Gpsm2"</f>
        <v>Gpsm2</v>
      </c>
      <c r="I205" t="s">
        <v>2049</v>
      </c>
      <c r="J205" t="s">
        <v>2010</v>
      </c>
    </row>
    <row r="206" spans="1:10">
      <c r="A206">
        <v>10518352</v>
      </c>
      <c r="B206">
        <v>4.8925949559773798</v>
      </c>
      <c r="C206">
        <v>2.49569893861494</v>
      </c>
      <c r="E206" t="str">
        <f>"10518352"</f>
        <v>10518352</v>
      </c>
      <c r="F206" t="str">
        <f t="shared" si="13"/>
        <v>Affy 1.0 ST</v>
      </c>
      <c r="G206" t="str">
        <f>"MGI:96157"</f>
        <v>MGI:96157</v>
      </c>
      <c r="H206" t="str">
        <f>"Hmgb2"</f>
        <v>Hmgb2</v>
      </c>
      <c r="I206" t="str">
        <f>"high mobility group box 2"</f>
        <v>high mobility group box 2</v>
      </c>
      <c r="J206" t="str">
        <f>"protein coding gene"</f>
        <v>protein coding gene</v>
      </c>
    </row>
    <row r="207" spans="1:10">
      <c r="A207">
        <v>10500630</v>
      </c>
      <c r="B207">
        <v>4.8685911709156597</v>
      </c>
      <c r="C207">
        <v>2.2669135738933899</v>
      </c>
      <c r="E207" t="str">
        <f>"10500630"</f>
        <v>10500630</v>
      </c>
      <c r="F207" t="str">
        <f t="shared" si="13"/>
        <v>Affy 1.0 ST</v>
      </c>
      <c r="G207" t="str">
        <f>"MGI:1921294"</f>
        <v>MGI:1921294</v>
      </c>
      <c r="H207" t="str">
        <f>"Ttf2"</f>
        <v>Ttf2</v>
      </c>
      <c r="I207" t="s">
        <v>1934</v>
      </c>
      <c r="J207" t="s">
        <v>2010</v>
      </c>
    </row>
    <row r="208" spans="1:10">
      <c r="A208">
        <v>10586416</v>
      </c>
      <c r="B208">
        <v>4.8501434835169599</v>
      </c>
      <c r="C208">
        <v>1.59465697178599</v>
      </c>
      <c r="E208" t="str">
        <f>"10586416"</f>
        <v>10586416</v>
      </c>
      <c r="F208" t="str">
        <f t="shared" si="13"/>
        <v>Affy 1.0 ST</v>
      </c>
      <c r="G208" t="str">
        <f>"MGI:2143057"</f>
        <v>MGI:2143057</v>
      </c>
      <c r="H208" t="str">
        <f>"Pif1"</f>
        <v>Pif1</v>
      </c>
      <c r="I208" t="str">
        <f>"PIF1 5'-to-3' DNA helicase homolog (S. cerevisiae)"</f>
        <v>PIF1 5'-to-3' DNA helicase homolog (S. cerevisiae)</v>
      </c>
      <c r="J208" t="str">
        <f>"protein coding gene"</f>
        <v>protein coding gene</v>
      </c>
    </row>
    <row r="209" spans="1:10">
      <c r="A209">
        <v>10408246</v>
      </c>
      <c r="B209">
        <v>4.8440148311965503</v>
      </c>
      <c r="C209">
        <v>3.55031958922318</v>
      </c>
      <c r="E209" t="str">
        <f>"10408246"</f>
        <v>10408246</v>
      </c>
      <c r="F209" t="str">
        <f t="shared" si="13"/>
        <v>Affy 1.0 ST</v>
      </c>
      <c r="G209" t="str">
        <f>"MGI:2668828"</f>
        <v>MGI:2668828</v>
      </c>
      <c r="H209" t="str">
        <f>"Hist1h3a"</f>
        <v>Hist1h3a</v>
      </c>
      <c r="I209" t="s">
        <v>2031</v>
      </c>
      <c r="J209" t="s">
        <v>2010</v>
      </c>
    </row>
    <row r="210" spans="1:10">
      <c r="A210">
        <v>10379989</v>
      </c>
      <c r="B210">
        <v>4.8144465396137797</v>
      </c>
      <c r="C210">
        <v>2.5851330739445699</v>
      </c>
      <c r="E210" t="str">
        <f>"10379989"</f>
        <v>10379989</v>
      </c>
      <c r="F210" t="str">
        <f t="shared" si="13"/>
        <v>Affy 1.0 ST</v>
      </c>
      <c r="G210" t="str">
        <f>"MGI:1913390"</f>
        <v>MGI:1913390</v>
      </c>
      <c r="H210" t="str">
        <f>"Fam33a"</f>
        <v>Fam33a</v>
      </c>
      <c r="I210" t="s">
        <v>1935</v>
      </c>
      <c r="J210" t="s">
        <v>2010</v>
      </c>
    </row>
    <row r="211" spans="1:10">
      <c r="A211">
        <v>10396068</v>
      </c>
      <c r="B211">
        <v>4.8069395664228098</v>
      </c>
      <c r="C211">
        <v>2.32121856735951</v>
      </c>
      <c r="E211" t="str">
        <f>"10396068"</f>
        <v>10396068</v>
      </c>
      <c r="F211" t="str">
        <f t="shared" si="13"/>
        <v>Affy 1.0 ST</v>
      </c>
      <c r="G211" t="str">
        <f>"MGI:1916956"</f>
        <v>MGI:1916956</v>
      </c>
      <c r="H211" t="str">
        <f>"Ppil5"</f>
        <v>Ppil5</v>
      </c>
      <c r="I211" t="str">
        <f>"peptidylprolyl isomerase (cyclophilin) like 5"</f>
        <v>peptidylprolyl isomerase (cyclophilin) like 5</v>
      </c>
      <c r="J211" t="str">
        <f>"protein coding gene"</f>
        <v>protein coding gene</v>
      </c>
    </row>
    <row r="212" spans="1:10">
      <c r="A212">
        <v>10408243</v>
      </c>
      <c r="B212">
        <v>4.7512581891647701</v>
      </c>
      <c r="C212">
        <v>3.3103084719517302</v>
      </c>
      <c r="E212" t="str">
        <f>"10408243"</f>
        <v>10408243</v>
      </c>
      <c r="F212" t="str">
        <f t="shared" si="13"/>
        <v>Affy 1.0 ST</v>
      </c>
      <c r="G212" t="str">
        <f>"MGI:2448420"</f>
        <v>MGI:2448420</v>
      </c>
      <c r="H212" t="str">
        <f>"Hist1h4b"</f>
        <v>Hist1h4b</v>
      </c>
      <c r="I212" t="s">
        <v>2035</v>
      </c>
      <c r="J212" t="s">
        <v>2010</v>
      </c>
    </row>
    <row r="213" spans="1:10">
      <c r="A213">
        <v>10564978</v>
      </c>
      <c r="B213">
        <v>4.6986442184367103</v>
      </c>
      <c r="C213">
        <v>2.74147841639213</v>
      </c>
      <c r="E213" t="str">
        <f>"10564978"</f>
        <v>10564978</v>
      </c>
      <c r="F213" t="str">
        <f t="shared" si="13"/>
        <v>Affy 1.0 ST</v>
      </c>
      <c r="G213" t="str">
        <f>"MGI:1328362"</f>
        <v>MGI:1328362</v>
      </c>
      <c r="H213" t="str">
        <f>"Blm"</f>
        <v>Blm</v>
      </c>
      <c r="I213" t="s">
        <v>1973</v>
      </c>
      <c r="J213" t="s">
        <v>2010</v>
      </c>
    </row>
    <row r="214" spans="1:10">
      <c r="A214">
        <v>10520521</v>
      </c>
      <c r="B214">
        <v>4.68799862100603</v>
      </c>
      <c r="C214">
        <v>1.9912394763946799</v>
      </c>
      <c r="E214" t="str">
        <f>"10520521"</f>
        <v>10520521</v>
      </c>
      <c r="F214" t="str">
        <f t="shared" si="13"/>
        <v>Affy 1.0 ST</v>
      </c>
      <c r="G214" t="str">
        <f>"MGI:88375"</f>
        <v>MGI:88375</v>
      </c>
      <c r="H214" t="str">
        <f>"Cenpa"</f>
        <v>Cenpa</v>
      </c>
      <c r="I214" t="str">
        <f>"centromere protein A"</f>
        <v>centromere protein A</v>
      </c>
      <c r="J214" t="str">
        <f>"protein coding gene"</f>
        <v>protein coding gene</v>
      </c>
    </row>
    <row r="215" spans="1:10">
      <c r="A215">
        <v>10547943</v>
      </c>
      <c r="B215">
        <v>4.6734145412174604</v>
      </c>
      <c r="C215">
        <v>2.2598204023719699</v>
      </c>
      <c r="E215" t="str">
        <f>"10547943"</f>
        <v>10547943</v>
      </c>
      <c r="F215" t="str">
        <f t="shared" si="13"/>
        <v>Affy 1.0 ST</v>
      </c>
      <c r="G215" t="str">
        <f>"MGI:1915548"</f>
        <v>MGI:1915548</v>
      </c>
      <c r="H215" t="str">
        <f>"Ncapd2"</f>
        <v>Ncapd2</v>
      </c>
      <c r="I215" t="s">
        <v>2023</v>
      </c>
      <c r="J215" t="s">
        <v>2010</v>
      </c>
    </row>
    <row r="216" spans="1:10">
      <c r="A216">
        <v>10528915</v>
      </c>
      <c r="B216">
        <v>4.6623325266521496</v>
      </c>
      <c r="C216">
        <v>3.3360857918826698</v>
      </c>
      <c r="E216" t="str">
        <f>"10528915"</f>
        <v>10528915</v>
      </c>
      <c r="F216" t="str">
        <f t="shared" si="13"/>
        <v>Affy 1.0 ST</v>
      </c>
      <c r="G216" t="str">
        <f>"MGI:98878"</f>
        <v>MGI:98878</v>
      </c>
      <c r="H216" t="str">
        <f>"Tyms"</f>
        <v>Tyms</v>
      </c>
      <c r="I216" t="str">
        <f>"thymidylate synthase"</f>
        <v>thymidylate synthase</v>
      </c>
      <c r="J216" t="str">
        <f>"protein coding gene"</f>
        <v>protein coding gene</v>
      </c>
    </row>
    <row r="217" spans="1:10">
      <c r="A217">
        <v>10606071</v>
      </c>
      <c r="B217">
        <v>4.6343526796638503</v>
      </c>
      <c r="C217">
        <v>2.3998671179111701</v>
      </c>
      <c r="E217" t="str">
        <f>"10606071"</f>
        <v>10606071</v>
      </c>
      <c r="F217" t="str">
        <f t="shared" si="13"/>
        <v>Affy 1.0 ST</v>
      </c>
      <c r="G217" t="str">
        <f>"MGI:2654144"</f>
        <v>MGI:2654144</v>
      </c>
      <c r="H217" t="str">
        <f>"Ercc6l"</f>
        <v>Ercc6l</v>
      </c>
      <c r="I217" t="str">
        <f>"excision repair cross-complementing rodent repair deficiency complementation group 6 - like"</f>
        <v>excision repair cross-complementing rodent repair deficiency complementation group 6 - like</v>
      </c>
      <c r="J217" t="str">
        <f>"protein coding gene"</f>
        <v>protein coding gene</v>
      </c>
    </row>
    <row r="218" spans="1:10">
      <c r="A218">
        <v>10528077</v>
      </c>
      <c r="B218">
        <v>4.6342146363975001</v>
      </c>
      <c r="C218">
        <v>1.93535909834354</v>
      </c>
      <c r="E218" t="str">
        <f>"10528077"</f>
        <v>10528077</v>
      </c>
      <c r="F218" t="str">
        <f t="shared" si="13"/>
        <v>Affy 1.0 ST</v>
      </c>
      <c r="G218" t="str">
        <f>"MGI:1351328"</f>
        <v>MGI:1351328</v>
      </c>
      <c r="H218" t="str">
        <f>"Dbf4"</f>
        <v>Dbf4</v>
      </c>
      <c r="I218" t="str">
        <f>"DBF4 homolog (S. cerevisiae)"</f>
        <v>DBF4 homolog (S. cerevisiae)</v>
      </c>
      <c r="J218" t="str">
        <f>"protein coding gene"</f>
        <v>protein coding gene</v>
      </c>
    </row>
    <row r="219" spans="1:10">
      <c r="A219">
        <v>10409031</v>
      </c>
      <c r="B219">
        <v>4.6118846810520404</v>
      </c>
      <c r="C219">
        <v>3.2384837884622599</v>
      </c>
      <c r="E219" t="str">
        <f>"10409031"</f>
        <v>10409031</v>
      </c>
      <c r="F219" t="str">
        <f t="shared" si="13"/>
        <v>Affy 1.0 ST</v>
      </c>
      <c r="G219" t="str">
        <f>"MGI:1926209"</f>
        <v>MGI:1926209</v>
      </c>
      <c r="H219" t="str">
        <f>"Dek"</f>
        <v>Dek</v>
      </c>
      <c r="I219" t="str">
        <f>"DEK oncogene (DNA binding)"</f>
        <v>DEK oncogene (DNA binding)</v>
      </c>
      <c r="J219" t="str">
        <f>"protein coding gene"</f>
        <v>protein coding gene</v>
      </c>
    </row>
    <row r="220" spans="1:10">
      <c r="A220">
        <v>10509168</v>
      </c>
      <c r="B220">
        <v>4.5817167755255603</v>
      </c>
      <c r="C220">
        <v>2.7075279101298899</v>
      </c>
      <c r="E220" t="str">
        <f>"10509168"</f>
        <v>10509168</v>
      </c>
      <c r="F220" t="str">
        <f t="shared" si="13"/>
        <v>Affy 1.0 ST</v>
      </c>
      <c r="G220" t="str">
        <f>"MGI:1096341"</f>
        <v>MGI:1096341</v>
      </c>
      <c r="H220" t="str">
        <f>"E2f2"</f>
        <v>E2f2</v>
      </c>
      <c r="I220" t="str">
        <f>"E2F transcription factor 2"</f>
        <v>E2F transcription factor 2</v>
      </c>
      <c r="J220" t="str">
        <f>"protein coding gene"</f>
        <v>protein coding gene</v>
      </c>
    </row>
    <row r="221" spans="1:10">
      <c r="A221">
        <v>10545672</v>
      </c>
      <c r="B221">
        <v>4.56455251139925</v>
      </c>
      <c r="C221">
        <v>2.52634678069407</v>
      </c>
      <c r="E221" t="str">
        <f>"10545672"</f>
        <v>10545672</v>
      </c>
      <c r="F221" t="str">
        <f t="shared" si="13"/>
        <v>Affy 1.0 ST</v>
      </c>
      <c r="G221" t="str">
        <f>"MGI:1338850"</f>
        <v>MGI:1338850</v>
      </c>
      <c r="H221" t="str">
        <f>"Mthfd2"</f>
        <v>Mthfd2</v>
      </c>
      <c r="I221" t="s">
        <v>1936</v>
      </c>
      <c r="J221" t="s">
        <v>2010</v>
      </c>
    </row>
    <row r="222" spans="1:10">
      <c r="A222">
        <v>10374590</v>
      </c>
      <c r="B222">
        <v>4.5641864459333297</v>
      </c>
      <c r="C222">
        <v>3.1938377383527898</v>
      </c>
      <c r="E222" t="str">
        <f>"10374590"</f>
        <v>10374590</v>
      </c>
      <c r="F222" t="str">
        <f t="shared" si="13"/>
        <v>Affy 1.0 ST</v>
      </c>
      <c r="G222" t="str">
        <f>"MGI:2144013"</f>
        <v>MGI:2144013</v>
      </c>
      <c r="H222" t="str">
        <f>"Xpo1"</f>
        <v>Xpo1</v>
      </c>
      <c r="I222" t="s">
        <v>1937</v>
      </c>
      <c r="J222" t="s">
        <v>2010</v>
      </c>
    </row>
    <row r="223" spans="1:10">
      <c r="A223">
        <v>10379363</v>
      </c>
      <c r="B223">
        <v>4.5532174931932001</v>
      </c>
      <c r="C223">
        <v>2.4030470832412298</v>
      </c>
      <c r="E223" t="str">
        <f>"10379363"</f>
        <v>10379363</v>
      </c>
      <c r="F223" t="str">
        <f t="shared" si="13"/>
        <v>Affy 1.0 ST</v>
      </c>
      <c r="G223" t="str">
        <f>"MGI:2442925"</f>
        <v>MGI:2442925</v>
      </c>
      <c r="H223" t="str">
        <f>"Atad5"</f>
        <v>Atad5</v>
      </c>
      <c r="I223" t="s">
        <v>2088</v>
      </c>
      <c r="J223" t="s">
        <v>2010</v>
      </c>
    </row>
    <row r="224" spans="1:10">
      <c r="A224">
        <v>10500324</v>
      </c>
      <c r="B224">
        <v>4.5429897012356699</v>
      </c>
      <c r="C224">
        <v>2.6306152449372702</v>
      </c>
      <c r="E224" t="str">
        <f>"10500324"</f>
        <v>10500324</v>
      </c>
      <c r="F224" t="str">
        <f t="shared" si="13"/>
        <v>Affy 1.0 ST</v>
      </c>
      <c r="G224" t="str">
        <f>"MGI:2448316"</f>
        <v>MGI:2448316</v>
      </c>
      <c r="H224" t="str">
        <f>"Hist2h2ac"</f>
        <v>Hist2h2ac</v>
      </c>
      <c r="I224" t="s">
        <v>2046</v>
      </c>
      <c r="J224" t="s">
        <v>2010</v>
      </c>
    </row>
    <row r="225" spans="1:10">
      <c r="A225">
        <v>10503617</v>
      </c>
      <c r="B225">
        <v>4.5116137823899196</v>
      </c>
      <c r="C225">
        <v>2.99813260254155</v>
      </c>
      <c r="E225" t="str">
        <f>"10503617"</f>
        <v>10503617</v>
      </c>
      <c r="F225" t="str">
        <f t="shared" si="13"/>
        <v>Affy 1.0 ST</v>
      </c>
      <c r="G225" t="str">
        <f>"MGI:2684980"</f>
        <v>MGI:2684980</v>
      </c>
      <c r="H225" t="str">
        <f>"Mms22l"</f>
        <v>Mms22l</v>
      </c>
      <c r="I225" t="s">
        <v>2159</v>
      </c>
      <c r="J225" t="s">
        <v>2010</v>
      </c>
    </row>
    <row r="226" spans="1:10">
      <c r="A226">
        <v>10562563</v>
      </c>
      <c r="B226">
        <v>4.4973834576992999</v>
      </c>
      <c r="C226">
        <v>1.7865813400497299</v>
      </c>
      <c r="E226" t="str">
        <f>"10562563"</f>
        <v>10562563</v>
      </c>
      <c r="F226" t="str">
        <f t="shared" si="13"/>
        <v>Affy 1.0 ST</v>
      </c>
      <c r="G226" t="str">
        <f>"MGI:88316"</f>
        <v>MGI:88316</v>
      </c>
      <c r="H226" t="str">
        <f>"Ccne1"</f>
        <v>Ccne1</v>
      </c>
      <c r="I226" t="str">
        <f>"cyclin E1"</f>
        <v>cyclin E1</v>
      </c>
      <c r="J226" t="str">
        <f>"protein coding gene"</f>
        <v>protein coding gene</v>
      </c>
    </row>
    <row r="227" spans="1:10">
      <c r="A227">
        <v>10524266</v>
      </c>
      <c r="B227">
        <v>4.4794049815091803</v>
      </c>
      <c r="C227">
        <v>2.9818707191224001</v>
      </c>
      <c r="E227" t="str">
        <f>"10524266"</f>
        <v>10524266</v>
      </c>
      <c r="F227" t="str">
        <f t="shared" si="13"/>
        <v>Affy 1.0 ST</v>
      </c>
      <c r="G227" t="str">
        <f>"MGI:1355321"</f>
        <v>MGI:1355321</v>
      </c>
      <c r="H227" t="str">
        <f>"Chek2"</f>
        <v>Chek2</v>
      </c>
      <c r="I227" t="str">
        <f>"CHK2 checkpoint homolog (S. pombe)"</f>
        <v>CHK2 checkpoint homolog (S. pombe)</v>
      </c>
      <c r="J227" t="str">
        <f>"protein coding gene"</f>
        <v>protein coding gene</v>
      </c>
    </row>
    <row r="228" spans="1:10">
      <c r="A228">
        <v>10357391</v>
      </c>
      <c r="B228">
        <v>4.4386062921750096</v>
      </c>
      <c r="C228">
        <v>2.86051994424</v>
      </c>
      <c r="E228" t="str">
        <f>"10357391"</f>
        <v>10357391</v>
      </c>
      <c r="F228" t="str">
        <f t="shared" si="13"/>
        <v>Affy 1.0 ST</v>
      </c>
      <c r="G228" t="str">
        <f>"MGI:1918362"</f>
        <v>MGI:1918362</v>
      </c>
      <c r="H228" t="str">
        <f>"Zranb3"</f>
        <v>Zranb3</v>
      </c>
      <c r="I228" t="s">
        <v>1938</v>
      </c>
      <c r="J228" t="s">
        <v>2010</v>
      </c>
    </row>
    <row r="229" spans="1:10">
      <c r="A229">
        <v>10475362</v>
      </c>
      <c r="B229">
        <v>4.4253348539145998</v>
      </c>
      <c r="C229">
        <v>2.09804359821988</v>
      </c>
      <c r="E229" t="str">
        <f>"10475362"</f>
        <v>10475362</v>
      </c>
      <c r="F229" t="str">
        <f t="shared" si="13"/>
        <v>Affy 1.0 ST</v>
      </c>
      <c r="G229" t="str">
        <f>"MGI:1926186"</f>
        <v>MGI:1926186</v>
      </c>
      <c r="H229" t="str">
        <f>"Wdr76"</f>
        <v>Wdr76</v>
      </c>
      <c r="I229" t="str">
        <f>"WD repeat domain 76"</f>
        <v>WD repeat domain 76</v>
      </c>
      <c r="J229" t="str">
        <f>"protein coding gene"</f>
        <v>protein coding gene</v>
      </c>
    </row>
    <row r="230" spans="1:10">
      <c r="A230">
        <v>10388234</v>
      </c>
      <c r="B230">
        <v>4.40644935668369</v>
      </c>
      <c r="C230">
        <v>1.93170207902629</v>
      </c>
      <c r="E230" t="str">
        <f>"10388234"</f>
        <v>10388234</v>
      </c>
      <c r="F230" t="str">
        <f t="shared" si="13"/>
        <v>Affy 1.0 ST</v>
      </c>
      <c r="G230" t="str">
        <f>"MGI:1194498"</f>
        <v>MGI:1194498</v>
      </c>
      <c r="H230" t="str">
        <f>"Gsg2"</f>
        <v>Gsg2</v>
      </c>
      <c r="I230" t="str">
        <f>"germ cell-specific gene 2"</f>
        <v>germ cell-specific gene 2</v>
      </c>
      <c r="J230" t="str">
        <f>"protein coding gene"</f>
        <v>protein coding gene</v>
      </c>
    </row>
    <row r="231" spans="1:10">
      <c r="A231">
        <v>10374400</v>
      </c>
      <c r="B231">
        <v>4.4060586226879099</v>
      </c>
      <c r="C231">
        <v>3.02840175108985</v>
      </c>
      <c r="E231" t="str">
        <f>"10374400"</f>
        <v>10374400</v>
      </c>
      <c r="F231" t="str">
        <f t="shared" si="13"/>
        <v>Affy 1.0 ST</v>
      </c>
      <c r="G231" t="str">
        <f>"MGI:2442569"</f>
        <v>MGI:2442569</v>
      </c>
      <c r="H231" t="str">
        <f>"Fbxo48"</f>
        <v>Fbxo48</v>
      </c>
      <c r="I231" t="str">
        <f>"F-box protein 48"</f>
        <v>F-box protein 48</v>
      </c>
      <c r="J231" t="str">
        <f>"protein coding gene"</f>
        <v>protein coding gene</v>
      </c>
    </row>
    <row r="232" spans="1:10">
      <c r="A232">
        <v>10349637</v>
      </c>
      <c r="B232">
        <v>4.38405850499809</v>
      </c>
      <c r="C232">
        <v>0.85803176728002795</v>
      </c>
      <c r="E232" t="str">
        <f>"10349637"</f>
        <v>10349637</v>
      </c>
      <c r="F232" t="str">
        <f t="shared" si="13"/>
        <v>Affy 1.0 ST</v>
      </c>
      <c r="G232" t="str">
        <f>"MGI:1919669"</f>
        <v>MGI:1919669</v>
      </c>
      <c r="H232" t="str">
        <f>"Fam72a"</f>
        <v>Fam72a</v>
      </c>
      <c r="I232" t="s">
        <v>2064</v>
      </c>
      <c r="J232" t="s">
        <v>2010</v>
      </c>
    </row>
    <row r="233" spans="1:10">
      <c r="A233">
        <v>10390746</v>
      </c>
      <c r="B233">
        <v>4.3711537330627896</v>
      </c>
      <c r="C233">
        <v>0.71815377450074303</v>
      </c>
      <c r="E233" t="str">
        <f>"10390746"</f>
        <v>10390746</v>
      </c>
      <c r="F233" t="str">
        <f>""</f>
        <v/>
      </c>
      <c r="G233" t="str">
        <f>"No associated gene"</f>
        <v>No associated gene</v>
      </c>
    </row>
    <row r="234" spans="1:10">
      <c r="A234">
        <v>10407081</v>
      </c>
      <c r="B234">
        <v>4.36146080972342</v>
      </c>
      <c r="C234">
        <v>2.4819059030928501</v>
      </c>
      <c r="E234" t="str">
        <f>"10407081"</f>
        <v>10407081</v>
      </c>
      <c r="F234" t="str">
        <f>"Affy 1.0 ST"</f>
        <v>Affy 1.0 ST</v>
      </c>
      <c r="G234" t="str">
        <f>"MGI:2145425"</f>
        <v>MGI:2145425</v>
      </c>
      <c r="H234" t="str">
        <f>"Depdc1b"</f>
        <v>Depdc1b</v>
      </c>
      <c r="I234" t="str">
        <f>"DEP domain containing 1B"</f>
        <v>DEP domain containing 1B</v>
      </c>
      <c r="J234" t="str">
        <f>"protein coding gene"</f>
        <v>protein coding gene</v>
      </c>
    </row>
    <row r="235" spans="1:10">
      <c r="A235">
        <v>10512236</v>
      </c>
      <c r="B235">
        <v>4.35872056124024</v>
      </c>
      <c r="C235">
        <v>1.9747235781789001</v>
      </c>
      <c r="E235" t="str">
        <f>"10512236"</f>
        <v>10512236</v>
      </c>
      <c r="F235" t="str">
        <f>"Affy 1.0 ST"</f>
        <v>Affy 1.0 ST</v>
      </c>
      <c r="G235" t="str">
        <f>"MGI:1918345"</f>
        <v>MGI:1918345</v>
      </c>
      <c r="H235" t="str">
        <f>"Kif24"</f>
        <v>Kif24</v>
      </c>
      <c r="I235" t="str">
        <f>"kinesin family member 24"</f>
        <v>kinesin family member 24</v>
      </c>
      <c r="J235" t="str">
        <f>"protein coding gene"</f>
        <v>protein coding gene</v>
      </c>
    </row>
    <row r="236" spans="1:10">
      <c r="A236">
        <v>10408321</v>
      </c>
      <c r="B236">
        <v>4.3569599490415296</v>
      </c>
      <c r="C236">
        <v>2.6328925395179601</v>
      </c>
      <c r="E236" t="str">
        <f>"10408321"</f>
        <v>10408321</v>
      </c>
      <c r="F236" t="str">
        <f>"Affy 1.0 ST"</f>
        <v>Affy 1.0 ST</v>
      </c>
      <c r="G236" t="str">
        <f>"MGI:1927344"</f>
        <v>MGI:1927344</v>
      </c>
      <c r="H236" t="str">
        <f>"Gmnn"</f>
        <v>Gmnn</v>
      </c>
      <c r="I236" t="str">
        <f>"geminin"</f>
        <v>geminin</v>
      </c>
      <c r="J236" t="str">
        <f>"protein coding gene"</f>
        <v>protein coding gene</v>
      </c>
    </row>
    <row r="237" spans="1:10">
      <c r="A237">
        <v>10352954</v>
      </c>
      <c r="B237">
        <v>4.3567512663994998</v>
      </c>
      <c r="C237">
        <v>1.8052114111220099</v>
      </c>
      <c r="E237" t="str">
        <f>"10352954"</f>
        <v>10352954</v>
      </c>
      <c r="F237" t="str">
        <f>"Affy 1.0 ST"</f>
        <v>Affy 1.0 ST</v>
      </c>
      <c r="G237" t="str">
        <f>"MGI:1098219"</f>
        <v>MGI:1098219</v>
      </c>
      <c r="H237" t="str">
        <f>"Hmgb3"</f>
        <v>Hmgb3</v>
      </c>
      <c r="I237" t="str">
        <f>"high mobility group box 3"</f>
        <v>high mobility group box 3</v>
      </c>
      <c r="J237" t="str">
        <f>"protein coding gene"</f>
        <v>protein coding gene</v>
      </c>
    </row>
    <row r="238" spans="1:10">
      <c r="A238">
        <v>10341707</v>
      </c>
      <c r="B238">
        <v>4.32315263712752</v>
      </c>
      <c r="C238">
        <v>1.9873364648799701</v>
      </c>
      <c r="E238" t="str">
        <f>"10341707"</f>
        <v>10341707</v>
      </c>
      <c r="F238" t="str">
        <f>""</f>
        <v/>
      </c>
      <c r="G238" t="str">
        <f>"No associated gene"</f>
        <v>No associated gene</v>
      </c>
    </row>
    <row r="239" spans="1:10">
      <c r="A239">
        <v>10350590</v>
      </c>
      <c r="B239">
        <v>4.3157158284816299</v>
      </c>
      <c r="C239">
        <v>2.1147317354911102</v>
      </c>
      <c r="E239" t="str">
        <f>"10350590"</f>
        <v>10350590</v>
      </c>
      <c r="F239" t="str">
        <f t="shared" ref="F239:F263" si="14">"Affy 1.0 ST"</f>
        <v>Affy 1.0 ST</v>
      </c>
      <c r="G239" t="str">
        <f>"MGI:3643639"</f>
        <v>MGI:3643639</v>
      </c>
      <c r="H239" t="str">
        <f>"Ska2l-ps"</f>
        <v>Ska2l-ps</v>
      </c>
      <c r="I239" t="s">
        <v>1939</v>
      </c>
      <c r="J239" t="s">
        <v>2015</v>
      </c>
    </row>
    <row r="240" spans="1:10">
      <c r="A240">
        <v>10375234</v>
      </c>
      <c r="B240">
        <v>4.3034004944077902</v>
      </c>
      <c r="C240">
        <v>1.9532226250079101</v>
      </c>
      <c r="E240" t="str">
        <f>"10375234"</f>
        <v>10375234</v>
      </c>
      <c r="F240" t="str">
        <f t="shared" si="14"/>
        <v>Affy 1.0 ST</v>
      </c>
      <c r="G240" t="str">
        <f>"MGI:1277103"</f>
        <v>MGI:1277103</v>
      </c>
      <c r="H240" t="str">
        <f>"Nudcd2"</f>
        <v>Nudcd2</v>
      </c>
      <c r="I240" t="str">
        <f>"NudC domain containing 2"</f>
        <v>NudC domain containing 2</v>
      </c>
      <c r="J240" t="str">
        <f t="shared" ref="J240:J245" si="15">"protein coding gene"</f>
        <v>protein coding gene</v>
      </c>
    </row>
    <row r="241" spans="1:10">
      <c r="A241">
        <v>10527801</v>
      </c>
      <c r="B241">
        <v>4.3005630975601301</v>
      </c>
      <c r="C241">
        <v>2.8922077177904</v>
      </c>
      <c r="E241" t="str">
        <f>"10527801"</f>
        <v>10527801</v>
      </c>
      <c r="F241" t="str">
        <f t="shared" si="14"/>
        <v>Affy 1.0 ST</v>
      </c>
      <c r="G241" t="str">
        <f>"MGI:109337"</f>
        <v>MGI:109337</v>
      </c>
      <c r="H241" t="str">
        <f>"Brca2"</f>
        <v>Brca2</v>
      </c>
      <c r="I241" t="str">
        <f>"breast cancer 2"</f>
        <v>breast cancer 2</v>
      </c>
      <c r="J241" t="str">
        <f t="shared" si="15"/>
        <v>protein coding gene</v>
      </c>
    </row>
    <row r="242" spans="1:10">
      <c r="A242">
        <v>10506680</v>
      </c>
      <c r="B242">
        <v>4.2985290126134403</v>
      </c>
      <c r="C242">
        <v>2.7480600989826498</v>
      </c>
      <c r="E242" t="str">
        <f>"10506680"</f>
        <v>10506680</v>
      </c>
      <c r="F242" t="str">
        <f t="shared" si="14"/>
        <v>Affy 1.0 ST</v>
      </c>
      <c r="G242" t="str">
        <f>"MGI:1920037"</f>
        <v>MGI:1920037</v>
      </c>
      <c r="H242" t="str">
        <f>"Tmem48"</f>
        <v>Tmem48</v>
      </c>
      <c r="I242" t="str">
        <f>"transmembrane protein 48"</f>
        <v>transmembrane protein 48</v>
      </c>
      <c r="J242" t="str">
        <f t="shared" si="15"/>
        <v>protein coding gene</v>
      </c>
    </row>
    <row r="243" spans="1:10">
      <c r="A243">
        <v>10401852</v>
      </c>
      <c r="B243">
        <v>4.2836070810237503</v>
      </c>
      <c r="C243">
        <v>2.82071485922252</v>
      </c>
      <c r="E243" t="str">
        <f>"10401852"</f>
        <v>10401852</v>
      </c>
      <c r="F243" t="str">
        <f t="shared" si="14"/>
        <v>Affy 1.0 ST</v>
      </c>
      <c r="G243" t="str">
        <f>"MGI:1922466"</f>
        <v>MGI:1922466</v>
      </c>
      <c r="H243" t="str">
        <f>"4930534B04Rik"</f>
        <v>4930534B04Rik</v>
      </c>
      <c r="I243" t="str">
        <f>"RIKEN cDNA 4930534B04 gene"</f>
        <v>RIKEN cDNA 4930534B04 gene</v>
      </c>
      <c r="J243" t="str">
        <f t="shared" si="15"/>
        <v>protein coding gene</v>
      </c>
    </row>
    <row r="244" spans="1:10">
      <c r="A244">
        <v>10523802</v>
      </c>
      <c r="B244">
        <v>4.2761763386234799</v>
      </c>
      <c r="C244">
        <v>2.5835346017310399</v>
      </c>
      <c r="E244" t="str">
        <f>"10523802"</f>
        <v>10523802</v>
      </c>
      <c r="F244" t="str">
        <f t="shared" si="14"/>
        <v>Affy 1.0 ST</v>
      </c>
      <c r="G244" t="str">
        <f>"MGI:1309511"</f>
        <v>MGI:1309511</v>
      </c>
      <c r="H244" t="str">
        <f>"Cdc7"</f>
        <v>Cdc7</v>
      </c>
      <c r="I244" t="str">
        <f>"cell division cycle 7 (S. cerevisiae)"</f>
        <v>cell division cycle 7 (S. cerevisiae)</v>
      </c>
      <c r="J244" t="str">
        <f t="shared" si="15"/>
        <v>protein coding gene</v>
      </c>
    </row>
    <row r="245" spans="1:10">
      <c r="A245">
        <v>10349733</v>
      </c>
      <c r="B245">
        <v>4.2677175956640303</v>
      </c>
      <c r="C245">
        <v>2.79988333686221</v>
      </c>
      <c r="E245" t="str">
        <f>"10349733"</f>
        <v>10349733</v>
      </c>
      <c r="F245" t="str">
        <f t="shared" si="14"/>
        <v>Affy 1.0 ST</v>
      </c>
      <c r="G245" t="str">
        <f>"MGI:1934811"</f>
        <v>MGI:1934811</v>
      </c>
      <c r="H245" t="str">
        <f>"Nucks1"</f>
        <v>Nucks1</v>
      </c>
      <c r="I245" t="str">
        <f>"nuclear casein kinase and cyclin-dependent kinase substrate 1"</f>
        <v>nuclear casein kinase and cyclin-dependent kinase substrate 1</v>
      </c>
      <c r="J245" t="str">
        <f t="shared" si="15"/>
        <v>protein coding gene</v>
      </c>
    </row>
    <row r="246" spans="1:10">
      <c r="A246">
        <v>10361995</v>
      </c>
      <c r="B246">
        <v>4.2195886852583504</v>
      </c>
      <c r="C246">
        <v>2.8566214086564599</v>
      </c>
      <c r="E246" t="str">
        <f>"10361995"</f>
        <v>10361995</v>
      </c>
      <c r="F246" t="str">
        <f t="shared" si="14"/>
        <v>Affy 1.0 ST</v>
      </c>
      <c r="G246" t="str">
        <f>"MGI:1919054"</f>
        <v>MGI:1919054</v>
      </c>
      <c r="H246" t="str">
        <f>"Fam54a"</f>
        <v>Fam54a</v>
      </c>
      <c r="I246" t="s">
        <v>2149</v>
      </c>
      <c r="J246" t="s">
        <v>2010</v>
      </c>
    </row>
    <row r="247" spans="1:10">
      <c r="A247">
        <v>10510172</v>
      </c>
      <c r="B247">
        <v>4.2075419184795004</v>
      </c>
      <c r="C247">
        <v>2.18914846062806</v>
      </c>
      <c r="E247" t="str">
        <f>"10510172"</f>
        <v>10510172</v>
      </c>
      <c r="F247" t="str">
        <f t="shared" si="14"/>
        <v>Affy 1.0 ST</v>
      </c>
      <c r="G247" t="str">
        <f>"MGI:96157"</f>
        <v>MGI:96157</v>
      </c>
      <c r="H247" t="str">
        <f>"Hmgb2"</f>
        <v>Hmgb2</v>
      </c>
      <c r="I247" t="str">
        <f>"high mobility group box 2"</f>
        <v>high mobility group box 2</v>
      </c>
      <c r="J247" t="str">
        <f t="shared" ref="J247:J252" si="16">"protein coding gene"</f>
        <v>protein coding gene</v>
      </c>
    </row>
    <row r="248" spans="1:10">
      <c r="A248">
        <v>10366554</v>
      </c>
      <c r="B248">
        <v>4.1591587981662803</v>
      </c>
      <c r="C248">
        <v>1.5251429260724101</v>
      </c>
      <c r="E248" t="str">
        <f>"10366554"</f>
        <v>10366554</v>
      </c>
      <c r="F248" t="str">
        <f t="shared" si="14"/>
        <v>Affy 1.0 ST</v>
      </c>
      <c r="G248" t="str">
        <f>"MGI:96951"</f>
        <v>MGI:96951</v>
      </c>
      <c r="H248" t="str">
        <f>"Mdm1"</f>
        <v>Mdm1</v>
      </c>
      <c r="I248" t="str">
        <f>"transformed mouse 3T3 cell double minute 1"</f>
        <v>transformed mouse 3T3 cell double minute 1</v>
      </c>
      <c r="J248" t="str">
        <f t="shared" si="16"/>
        <v>protein coding gene</v>
      </c>
    </row>
    <row r="249" spans="1:10">
      <c r="A249">
        <v>10389627</v>
      </c>
      <c r="B249">
        <v>4.1510419717330702</v>
      </c>
      <c r="C249">
        <v>1.7647732688855799</v>
      </c>
      <c r="E249" t="str">
        <f>"10389627"</f>
        <v>10389627</v>
      </c>
      <c r="F249" t="str">
        <f t="shared" si="14"/>
        <v>Affy 1.0 ST</v>
      </c>
      <c r="G249" t="str">
        <f>"MGI:2150020"</f>
        <v>MGI:2150020</v>
      </c>
      <c r="H249" t="str">
        <f>"Rad51c"</f>
        <v>Rad51c</v>
      </c>
      <c r="I249" t="str">
        <f>"RAD51 homolog c (S. cerevisiae)"</f>
        <v>RAD51 homolog c (S. cerevisiae)</v>
      </c>
      <c r="J249" t="str">
        <f t="shared" si="16"/>
        <v>protein coding gene</v>
      </c>
    </row>
    <row r="250" spans="1:10">
      <c r="A250">
        <v>10495945</v>
      </c>
      <c r="B250">
        <v>4.1485048242329601</v>
      </c>
      <c r="C250">
        <v>2.4634473491359601</v>
      </c>
      <c r="E250" t="str">
        <f>"10495945"</f>
        <v>10495945</v>
      </c>
      <c r="F250" t="str">
        <f t="shared" si="14"/>
        <v>Affy 1.0 ST</v>
      </c>
      <c r="G250" t="str">
        <f>"MGI:1918893"</f>
        <v>MGI:1918893</v>
      </c>
      <c r="H250" t="str">
        <f>"4930422G04Rik"</f>
        <v>4930422G04Rik</v>
      </c>
      <c r="I250" t="str">
        <f>"RIKEN cDNA 4930422G04 gene"</f>
        <v>RIKEN cDNA 4930422G04 gene</v>
      </c>
      <c r="J250" t="str">
        <f t="shared" si="16"/>
        <v>protein coding gene</v>
      </c>
    </row>
    <row r="251" spans="1:10">
      <c r="A251">
        <v>10395612</v>
      </c>
      <c r="B251">
        <v>4.1453383024019903</v>
      </c>
      <c r="C251">
        <v>2.1318150528026898</v>
      </c>
      <c r="E251" t="str">
        <f>"10395612"</f>
        <v>10395612</v>
      </c>
      <c r="F251" t="str">
        <f t="shared" si="14"/>
        <v>Affy 1.0 ST</v>
      </c>
      <c r="G251" t="str">
        <f>"MGI:2444298"</f>
        <v>MGI:2444298</v>
      </c>
      <c r="H251" t="str">
        <f>"G2e3"</f>
        <v>G2e3</v>
      </c>
      <c r="I251" t="str">
        <f>"G2/M-phase specific E3 ubiquitin ligase"</f>
        <v>G2/M-phase specific E3 ubiquitin ligase</v>
      </c>
      <c r="J251" t="str">
        <f t="shared" si="16"/>
        <v>protein coding gene</v>
      </c>
    </row>
    <row r="252" spans="1:10">
      <c r="A252">
        <v>10453867</v>
      </c>
      <c r="B252">
        <v>4.1372870404116098</v>
      </c>
      <c r="C252">
        <v>1.4909256610733199</v>
      </c>
      <c r="E252" t="str">
        <f>"10453867"</f>
        <v>10453867</v>
      </c>
      <c r="F252" t="str">
        <f t="shared" si="14"/>
        <v>Affy 1.0 ST</v>
      </c>
      <c r="G252" t="str">
        <f>"MGI:2442995"</f>
        <v>MGI:2442995</v>
      </c>
      <c r="H252" t="str">
        <f>"Rbbp8"</f>
        <v>Rbbp8</v>
      </c>
      <c r="I252" t="str">
        <f>"retinoblastoma binding protein 8"</f>
        <v>retinoblastoma binding protein 8</v>
      </c>
      <c r="J252" t="str">
        <f t="shared" si="16"/>
        <v>protein coding gene</v>
      </c>
    </row>
    <row r="253" spans="1:10">
      <c r="A253">
        <v>10586454</v>
      </c>
      <c r="B253">
        <v>4.1299984992799397</v>
      </c>
      <c r="C253">
        <v>1.9839214972511101</v>
      </c>
      <c r="E253" t="str">
        <f>"10586454"</f>
        <v>10586454</v>
      </c>
      <c r="F253" t="str">
        <f t="shared" si="14"/>
        <v>Affy 1.0 ST</v>
      </c>
      <c r="G253" t="str">
        <f>"MGI:2442964"</f>
        <v>MGI:2442964</v>
      </c>
      <c r="H253" t="str">
        <f>"D030028M11Rik"</f>
        <v>D030028M11Rik</v>
      </c>
      <c r="I253" t="str">
        <f>"RIKEN cDNA D030028M11 gene"</f>
        <v>RIKEN cDNA D030028M11 gene</v>
      </c>
      <c r="J253" t="str">
        <f>"unclassified gene"</f>
        <v>unclassified gene</v>
      </c>
    </row>
    <row r="254" spans="1:10">
      <c r="A254">
        <v>10473919</v>
      </c>
      <c r="B254">
        <v>4.1260981413567803</v>
      </c>
      <c r="C254">
        <v>1.86918728165496</v>
      </c>
      <c r="E254" t="str">
        <f>"10473919"</f>
        <v>10473919</v>
      </c>
      <c r="F254" t="str">
        <f t="shared" si="14"/>
        <v>Affy 1.0 ST</v>
      </c>
      <c r="G254" t="str">
        <f>"MGI:1923036"</f>
        <v>MGI:1923036</v>
      </c>
      <c r="H254" t="str">
        <f>"Ckap5"</f>
        <v>Ckap5</v>
      </c>
      <c r="I254" t="str">
        <f>"cytoskeleton associated protein 5"</f>
        <v>cytoskeleton associated protein 5</v>
      </c>
      <c r="J254" t="str">
        <f>"protein coding gene"</f>
        <v>protein coding gene</v>
      </c>
    </row>
    <row r="255" spans="1:10">
      <c r="A255">
        <v>10359648</v>
      </c>
      <c r="B255">
        <v>4.12350115631381</v>
      </c>
      <c r="C255">
        <v>1.9965250702061099</v>
      </c>
      <c r="E255" t="str">
        <f>"10359648"</f>
        <v>10359648</v>
      </c>
      <c r="F255" t="str">
        <f t="shared" si="14"/>
        <v>Affy 1.0 ST</v>
      </c>
      <c r="G255" t="str">
        <f>"MGI:3590554"</f>
        <v>MGI:3590554</v>
      </c>
      <c r="H255" t="str">
        <f>"BC055324"</f>
        <v>BC055324</v>
      </c>
      <c r="I255" t="str">
        <f>"cDNA sequence BC055324"</f>
        <v>cDNA sequence BC055324</v>
      </c>
      <c r="J255" t="str">
        <f>"protein coding gene"</f>
        <v>protein coding gene</v>
      </c>
    </row>
    <row r="256" spans="1:10">
      <c r="A256">
        <v>10567412</v>
      </c>
      <c r="B256">
        <v>4.1207726212019598</v>
      </c>
      <c r="C256">
        <v>1.16488730219744</v>
      </c>
      <c r="E256" t="str">
        <f>"10567412"</f>
        <v>10567412</v>
      </c>
      <c r="F256" t="str">
        <f t="shared" si="14"/>
        <v>Affy 1.0 ST</v>
      </c>
      <c r="G256" t="str">
        <f>"MGI:1918401"</f>
        <v>MGI:1918401</v>
      </c>
      <c r="H256" t="str">
        <f>"Eri2"</f>
        <v>Eri2</v>
      </c>
      <c r="I256" t="str">
        <f>"exoribonuclease 2"</f>
        <v>exoribonuclease 2</v>
      </c>
      <c r="J256" t="str">
        <f>"protein coding gene"</f>
        <v>protein coding gene</v>
      </c>
    </row>
    <row r="257" spans="1:10">
      <c r="A257">
        <v>10446027</v>
      </c>
      <c r="B257">
        <v>4.1017474036148398</v>
      </c>
      <c r="C257">
        <v>2.6930486810597101</v>
      </c>
      <c r="E257" t="str">
        <f>"10446027"</f>
        <v>10446027</v>
      </c>
      <c r="F257" t="str">
        <f t="shared" si="14"/>
        <v>Affy 1.0 ST</v>
      </c>
      <c r="G257" t="str">
        <f>"MGI:1351331"</f>
        <v>MGI:1351331</v>
      </c>
      <c r="H257" t="str">
        <f>"Chaf1a"</f>
        <v>Chaf1a</v>
      </c>
      <c r="I257" t="s">
        <v>2051</v>
      </c>
      <c r="J257" t="s">
        <v>2010</v>
      </c>
    </row>
    <row r="258" spans="1:10">
      <c r="A258">
        <v>10521136</v>
      </c>
      <c r="B258">
        <v>4.1002494796117901</v>
      </c>
      <c r="C258">
        <v>1.9192793546434599</v>
      </c>
      <c r="E258" t="str">
        <f>"10521136"</f>
        <v>10521136</v>
      </c>
      <c r="F258" t="str">
        <f t="shared" si="14"/>
        <v>Affy 1.0 ST</v>
      </c>
      <c r="G258" t="str">
        <f>"MGI:1276574"</f>
        <v>MGI:1276574</v>
      </c>
      <c r="H258" t="str">
        <f>"Whsc1"</f>
        <v>Whsc1</v>
      </c>
      <c r="I258" t="str">
        <f>"Wolf-Hirschhorn syndrome candidate 1 (human)"</f>
        <v>Wolf-Hirschhorn syndrome candidate 1 (human)</v>
      </c>
      <c r="J258" t="str">
        <f>"protein coding gene"</f>
        <v>protein coding gene</v>
      </c>
    </row>
    <row r="259" spans="1:10">
      <c r="A259">
        <v>10581800</v>
      </c>
      <c r="B259">
        <v>4.0803222687129903</v>
      </c>
      <c r="C259">
        <v>2.4654019220973802</v>
      </c>
      <c r="E259" t="str">
        <f>"10581800"</f>
        <v>10581800</v>
      </c>
      <c r="F259" t="str">
        <f t="shared" si="14"/>
        <v>Affy 1.0 ST</v>
      </c>
      <c r="G259" t="str">
        <f>"MGI:2384584"</f>
        <v>MGI:2384584</v>
      </c>
      <c r="H259" t="str">
        <f>"Rfwd3"</f>
        <v>Rfwd3</v>
      </c>
      <c r="I259" t="str">
        <f>"ring finger and WD repeat domain 3"</f>
        <v>ring finger and WD repeat domain 3</v>
      </c>
      <c r="J259" t="str">
        <f>"protein coding gene"</f>
        <v>protein coding gene</v>
      </c>
    </row>
    <row r="260" spans="1:10">
      <c r="A260">
        <v>10519488</v>
      </c>
      <c r="B260">
        <v>4.07784981752725</v>
      </c>
      <c r="C260">
        <v>1.8087138263923399</v>
      </c>
      <c r="E260" t="str">
        <f>"10519488"</f>
        <v>10519488</v>
      </c>
      <c r="F260" t="str">
        <f t="shared" si="14"/>
        <v>Affy 1.0 ST</v>
      </c>
      <c r="G260" t="str">
        <f>"MGI:1915472"</f>
        <v>MGI:1915472</v>
      </c>
      <c r="H260" t="str">
        <f>"Tubb2c"</f>
        <v>Tubb2c</v>
      </c>
      <c r="I260" t="s">
        <v>2002</v>
      </c>
      <c r="J260" t="s">
        <v>2010</v>
      </c>
    </row>
    <row r="261" spans="1:10">
      <c r="A261">
        <v>10433088</v>
      </c>
      <c r="B261">
        <v>4.0737834063241296</v>
      </c>
      <c r="C261">
        <v>2.5063412399305798</v>
      </c>
      <c r="E261" t="str">
        <f>"10433088"</f>
        <v>10433088</v>
      </c>
      <c r="F261" t="str">
        <f t="shared" si="14"/>
        <v>Affy 1.0 ST</v>
      </c>
      <c r="G261" t="str">
        <f>"MGI:109372"</f>
        <v>MGI:109372</v>
      </c>
      <c r="H261" t="str">
        <f>"Cbx5"</f>
        <v>Cbx5</v>
      </c>
      <c r="I261" t="str">
        <f>"chromobox homolog 5 (Drosophila HP1a)"</f>
        <v>chromobox homolog 5 (Drosophila HP1a)</v>
      </c>
      <c r="J261" t="str">
        <f>"protein coding gene"</f>
        <v>protein coding gene</v>
      </c>
    </row>
    <row r="262" spans="1:10">
      <c r="A262">
        <v>10390050</v>
      </c>
      <c r="B262">
        <v>4.0648981192672702</v>
      </c>
      <c r="C262">
        <v>2.0229683615101401</v>
      </c>
      <c r="E262" t="str">
        <f>"10390050"</f>
        <v>10390050</v>
      </c>
      <c r="F262" t="str">
        <f t="shared" si="14"/>
        <v>Affy 1.0 ST</v>
      </c>
      <c r="G262" t="str">
        <f>"MGI:3576783"</f>
        <v>MGI:3576783</v>
      </c>
      <c r="H262" t="str">
        <f>"Eme1"</f>
        <v>Eme1</v>
      </c>
      <c r="I262" t="str">
        <f>"essential meiotic endonuclease 1 homolog 1 (S. pombe)"</f>
        <v>essential meiotic endonuclease 1 homolog 1 (S. pombe)</v>
      </c>
      <c r="J262" t="str">
        <f>"protein coding gene"</f>
        <v>protein coding gene</v>
      </c>
    </row>
    <row r="263" spans="1:10">
      <c r="A263">
        <v>10371603</v>
      </c>
      <c r="B263">
        <v>4.0514806860546404</v>
      </c>
      <c r="C263">
        <v>1.71564851475255</v>
      </c>
      <c r="E263" t="str">
        <f>"10371603"</f>
        <v>10371603</v>
      </c>
      <c r="F263" t="str">
        <f t="shared" si="14"/>
        <v>Affy 1.0 ST</v>
      </c>
      <c r="G263" t="str">
        <f>"MGI:3647484"</f>
        <v>MGI:3647484</v>
      </c>
      <c r="H263" t="str">
        <f>"Gm6653"</f>
        <v>Gm6653</v>
      </c>
      <c r="I263" t="str">
        <f>"predicted gene 6653"</f>
        <v>predicted gene 6653</v>
      </c>
      <c r="J263" t="str">
        <f>"unclassified gene"</f>
        <v>unclassified gene</v>
      </c>
    </row>
    <row r="264" spans="1:10">
      <c r="A264">
        <v>10477004</v>
      </c>
      <c r="B264">
        <v>3.9234785590636898</v>
      </c>
      <c r="C264">
        <v>2.5854408154403301</v>
      </c>
      <c r="E264" t="str">
        <f>"10477004"</f>
        <v>10477004</v>
      </c>
      <c r="F264" t="str">
        <f>""</f>
        <v/>
      </c>
      <c r="G264" t="str">
        <f>"No associated gene"</f>
        <v>No associated gene</v>
      </c>
    </row>
    <row r="265" spans="1:10">
      <c r="A265">
        <v>10415791</v>
      </c>
      <c r="B265">
        <v>3.9170609954329101</v>
      </c>
      <c r="C265">
        <v>2.1872356016882</v>
      </c>
      <c r="E265" t="str">
        <f>"10415791"</f>
        <v>10415791</v>
      </c>
      <c r="F265" t="str">
        <f t="shared" ref="F265:F281" si="17">"Affy 1.0 ST"</f>
        <v>Affy 1.0 ST</v>
      </c>
      <c r="G265" t="str">
        <f>"MGI:1914403"</f>
        <v>MGI:1914403</v>
      </c>
      <c r="H265" t="str">
        <f>"Rnaseh2b"</f>
        <v>Rnaseh2b</v>
      </c>
      <c r="I265" t="s">
        <v>2047</v>
      </c>
      <c r="J265" t="s">
        <v>2010</v>
      </c>
    </row>
    <row r="266" spans="1:10">
      <c r="A266">
        <v>10368370</v>
      </c>
      <c r="B266">
        <v>3.9026462763355001</v>
      </c>
      <c r="C266">
        <v>1.9853296156695299</v>
      </c>
      <c r="E266" t="str">
        <f>"10368370"</f>
        <v>10368370</v>
      </c>
      <c r="F266" t="str">
        <f t="shared" si="17"/>
        <v>Affy 1.0 ST</v>
      </c>
      <c r="G266" t="str">
        <f>"MGI:3646579"</f>
        <v>MGI:3646579</v>
      </c>
      <c r="H266" t="str">
        <f>"Gm8681"</f>
        <v>Gm8681</v>
      </c>
      <c r="I266" t="str">
        <f>"predicted gene 8681"</f>
        <v>predicted gene 8681</v>
      </c>
      <c r="J266" t="str">
        <f>"pseudogene"</f>
        <v>pseudogene</v>
      </c>
    </row>
    <row r="267" spans="1:10">
      <c r="A267">
        <v>10573615</v>
      </c>
      <c r="B267">
        <v>3.8823936088834299</v>
      </c>
      <c r="C267">
        <v>2.3876524949645601</v>
      </c>
      <c r="E267" t="str">
        <f>"10573615"</f>
        <v>10573615</v>
      </c>
      <c r="F267" t="str">
        <f t="shared" si="17"/>
        <v>Affy 1.0 ST</v>
      </c>
      <c r="G267" t="str">
        <f>"MGI:1929285"</f>
        <v>MGI:1929285</v>
      </c>
      <c r="H267" t="str">
        <f>"Orc6"</f>
        <v>Orc6</v>
      </c>
      <c r="I267" t="s">
        <v>2052</v>
      </c>
      <c r="J267" t="s">
        <v>2010</v>
      </c>
    </row>
    <row r="268" spans="1:10">
      <c r="A268">
        <v>10402073</v>
      </c>
      <c r="B268">
        <v>3.8647437125098301</v>
      </c>
      <c r="C268">
        <v>1.5313716391829699</v>
      </c>
      <c r="E268" t="str">
        <f>"10402073"</f>
        <v>10402073</v>
      </c>
      <c r="F268" t="str">
        <f t="shared" si="17"/>
        <v>Affy 1.0 ST</v>
      </c>
      <c r="G268" t="str">
        <f>"MGI:1926017"</f>
        <v>MGI:1926017</v>
      </c>
      <c r="H268" t="str">
        <f>"2610021K21Rik"</f>
        <v>2610021K21Rik</v>
      </c>
      <c r="I268" t="str">
        <f>"RIKEN cDNA 2610021K21 gene"</f>
        <v>RIKEN cDNA 2610021K21 gene</v>
      </c>
      <c r="J268" t="str">
        <f>"protein coding gene"</f>
        <v>protein coding gene</v>
      </c>
    </row>
    <row r="269" spans="1:10">
      <c r="A269">
        <v>10474437</v>
      </c>
      <c r="B269">
        <v>3.8548726754994802</v>
      </c>
      <c r="C269">
        <v>2.0803728847800498</v>
      </c>
      <c r="E269" t="str">
        <f>"10474437"</f>
        <v>10474437</v>
      </c>
      <c r="F269" t="str">
        <f t="shared" si="17"/>
        <v>Affy 1.0 ST</v>
      </c>
      <c r="G269" t="str">
        <f>"MGI:1915451"</f>
        <v>MGI:1915451</v>
      </c>
      <c r="H269" t="str">
        <f>"Ccdc34"</f>
        <v>Ccdc34</v>
      </c>
      <c r="I269" t="str">
        <f>"coiled-coil domain containing 34"</f>
        <v>coiled-coil domain containing 34</v>
      </c>
      <c r="J269" t="str">
        <f>"protein coding gene"</f>
        <v>protein coding gene</v>
      </c>
    </row>
    <row r="270" spans="1:10">
      <c r="A270">
        <v>10355325</v>
      </c>
      <c r="B270">
        <v>3.8439882075155101</v>
      </c>
      <c r="C270">
        <v>1.66909403780459</v>
      </c>
      <c r="E270" t="str">
        <f>"10355325"</f>
        <v>10355325</v>
      </c>
      <c r="F270" t="str">
        <f t="shared" si="17"/>
        <v>Affy 1.0 ST</v>
      </c>
      <c r="G270" t="str">
        <f>"MGI:1328361"</f>
        <v>MGI:1328361</v>
      </c>
      <c r="H270" t="str">
        <f>"Bard1"</f>
        <v>Bard1</v>
      </c>
      <c r="I270" t="str">
        <f>"BRCA1 associated RING domain 1"</f>
        <v>BRCA1 associated RING domain 1</v>
      </c>
      <c r="J270" t="str">
        <f>"protein coding gene"</f>
        <v>protein coding gene</v>
      </c>
    </row>
    <row r="271" spans="1:10">
      <c r="A271">
        <v>10408111</v>
      </c>
      <c r="B271">
        <v>3.83791442008385</v>
      </c>
      <c r="C271">
        <v>1.6989138451216499</v>
      </c>
      <c r="E271" t="str">
        <f>"10408111"</f>
        <v>10408111</v>
      </c>
      <c r="F271" t="str">
        <f t="shared" si="17"/>
        <v>Affy 1.0 ST</v>
      </c>
      <c r="G271" t="str">
        <f>"MGI:3710573"</f>
        <v>MGI:3710573</v>
      </c>
      <c r="H271" t="str">
        <f>"Hist1h2ap"</f>
        <v>Hist1h2ap</v>
      </c>
      <c r="I271" t="s">
        <v>2029</v>
      </c>
      <c r="J271" t="s">
        <v>2010</v>
      </c>
    </row>
    <row r="272" spans="1:10">
      <c r="A272">
        <v>10408477</v>
      </c>
      <c r="B272">
        <v>3.8374615383467598</v>
      </c>
      <c r="C272">
        <v>2.5014494459605898</v>
      </c>
      <c r="E272" t="str">
        <f>"10408477"</f>
        <v>10408477</v>
      </c>
      <c r="F272" t="str">
        <f t="shared" si="17"/>
        <v>Affy 1.0 ST</v>
      </c>
      <c r="G272" t="str">
        <f>"MGI:1096340"</f>
        <v>MGI:1096340</v>
      </c>
      <c r="H272" t="str">
        <f>"E2f3"</f>
        <v>E2f3</v>
      </c>
      <c r="I272" t="str">
        <f>"E2F transcription factor 3"</f>
        <v>E2F transcription factor 3</v>
      </c>
      <c r="J272" t="str">
        <f>"protein coding gene"</f>
        <v>protein coding gene</v>
      </c>
    </row>
    <row r="273" spans="1:10">
      <c r="A273">
        <v>10604528</v>
      </c>
      <c r="B273">
        <v>3.8314506835056501</v>
      </c>
      <c r="C273">
        <v>1.6464381893522999</v>
      </c>
      <c r="E273" t="str">
        <f>"10604528"</f>
        <v>10604528</v>
      </c>
      <c r="F273" t="str">
        <f t="shared" si="17"/>
        <v>Affy 1.0 ST</v>
      </c>
      <c r="G273" t="str">
        <f>"MGI:2444912"</f>
        <v>MGI:2444912</v>
      </c>
      <c r="H273" t="str">
        <f>"Mbnl3"</f>
        <v>Mbnl3</v>
      </c>
      <c r="I273" t="str">
        <f>"muscleblind-like 3 (Drosophila)"</f>
        <v>muscleblind-like 3 (Drosophila)</v>
      </c>
      <c r="J273" t="str">
        <f>"protein coding gene"</f>
        <v>protein coding gene</v>
      </c>
    </row>
    <row r="274" spans="1:10">
      <c r="A274">
        <v>10495035</v>
      </c>
      <c r="B274">
        <v>3.8115432560131599</v>
      </c>
      <c r="C274">
        <v>2.37653222504618</v>
      </c>
      <c r="E274" t="str">
        <f>"10495035"</f>
        <v>10495035</v>
      </c>
      <c r="F274" t="str">
        <f t="shared" si="17"/>
        <v>Affy 1.0 ST</v>
      </c>
      <c r="G274" t="str">
        <f>"MGI:106013"</f>
        <v>MGI:106013</v>
      </c>
      <c r="H274" t="str">
        <f>"Slc16a1"</f>
        <v>Slc16a1</v>
      </c>
      <c r="I274" t="s">
        <v>2016</v>
      </c>
      <c r="J274" t="s">
        <v>2010</v>
      </c>
    </row>
    <row r="275" spans="1:10">
      <c r="A275">
        <v>10359386</v>
      </c>
      <c r="B275">
        <v>3.8074129712315701</v>
      </c>
      <c r="C275">
        <v>1.7052996966106999</v>
      </c>
      <c r="E275" t="str">
        <f>"10359386"</f>
        <v>10359386</v>
      </c>
      <c r="F275" t="str">
        <f t="shared" si="17"/>
        <v>Affy 1.0 ST</v>
      </c>
      <c r="G275" t="str">
        <f>"MGI:2442510"</f>
        <v>MGI:2442510</v>
      </c>
      <c r="H275" t="str">
        <f>"Dars2"</f>
        <v>Dars2</v>
      </c>
      <c r="I275" t="str">
        <f>"aspartyl-tRNA synthetase 2 (mitochondrial)"</f>
        <v>aspartyl-tRNA synthetase 2 (mitochondrial)</v>
      </c>
      <c r="J275" t="str">
        <f>"protein coding gene"</f>
        <v>protein coding gene</v>
      </c>
    </row>
    <row r="276" spans="1:10">
      <c r="A276">
        <v>10408197</v>
      </c>
      <c r="B276">
        <v>3.8070352737781299</v>
      </c>
      <c r="C276">
        <v>2.0003628194137399</v>
      </c>
      <c r="E276" t="str">
        <f>"10408197"</f>
        <v>10408197</v>
      </c>
      <c r="F276" t="str">
        <f t="shared" si="17"/>
        <v>Affy 1.0 ST</v>
      </c>
      <c r="G276" t="str">
        <f>"MGI:2448387"</f>
        <v>MGI:2448387</v>
      </c>
      <c r="H276" t="str">
        <f>"Hist1h2bh"</f>
        <v>Hist1h2bh</v>
      </c>
      <c r="I276" t="s">
        <v>2017</v>
      </c>
      <c r="J276" t="s">
        <v>2010</v>
      </c>
    </row>
    <row r="277" spans="1:10">
      <c r="A277">
        <v>10366277</v>
      </c>
      <c r="B277">
        <v>3.7842965189530302</v>
      </c>
      <c r="C277">
        <v>1.9841628646421201</v>
      </c>
      <c r="E277" t="str">
        <f>"10366277"</f>
        <v>10366277</v>
      </c>
      <c r="F277" t="str">
        <f t="shared" si="17"/>
        <v>Affy 1.0 ST</v>
      </c>
      <c r="G277" t="str">
        <f>"MGI:1289147"</f>
        <v>MGI:1289147</v>
      </c>
      <c r="H277" t="str">
        <f>"E2f7"</f>
        <v>E2f7</v>
      </c>
      <c r="I277" t="str">
        <f>"E2F transcription factor 7"</f>
        <v>E2F transcription factor 7</v>
      </c>
      <c r="J277" t="str">
        <f>"protein coding gene"</f>
        <v>protein coding gene</v>
      </c>
    </row>
    <row r="278" spans="1:10">
      <c r="A278">
        <v>10465912</v>
      </c>
      <c r="B278">
        <v>3.77305985599246</v>
      </c>
      <c r="C278">
        <v>2.3765648383690898</v>
      </c>
      <c r="E278" t="str">
        <f>"10465912"</f>
        <v>10465912</v>
      </c>
      <c r="F278" t="str">
        <f t="shared" si="17"/>
        <v>Affy 1.0 ST</v>
      </c>
      <c r="G278" t="str">
        <f>"MGI:102779"</f>
        <v>MGI:102779</v>
      </c>
      <c r="H278" t="str">
        <f>"Fen1"</f>
        <v>Fen1</v>
      </c>
      <c r="I278" t="str">
        <f>"flap structure specific endonuclease 1"</f>
        <v>flap structure specific endonuclease 1</v>
      </c>
      <c r="J278" t="str">
        <f>"protein coding gene"</f>
        <v>protein coding gene</v>
      </c>
    </row>
    <row r="279" spans="1:10">
      <c r="A279">
        <v>10591369</v>
      </c>
      <c r="B279">
        <v>3.70904706270484</v>
      </c>
      <c r="C279">
        <v>1.99902712255649</v>
      </c>
      <c r="E279" t="str">
        <f>"10591369"</f>
        <v>10591369</v>
      </c>
      <c r="F279" t="str">
        <f t="shared" si="17"/>
        <v>Affy 1.0 ST</v>
      </c>
      <c r="G279" t="str">
        <f>"MGI:94912"</f>
        <v>MGI:94912</v>
      </c>
      <c r="H279" t="str">
        <f>"Dnmt1"</f>
        <v>Dnmt1</v>
      </c>
      <c r="I279" t="str">
        <f>"DNA methyltransferase (cytosine-5) 1"</f>
        <v>DNA methyltransferase (cytosine-5) 1</v>
      </c>
      <c r="J279" t="str">
        <f>"protein coding gene"</f>
        <v>protein coding gene</v>
      </c>
    </row>
    <row r="280" spans="1:10">
      <c r="A280">
        <v>10367179</v>
      </c>
      <c r="B280">
        <v>3.70255619969975</v>
      </c>
      <c r="C280">
        <v>2.1319756096301101</v>
      </c>
      <c r="E280" t="str">
        <f>"10367179"</f>
        <v>10367179</v>
      </c>
      <c r="F280" t="str">
        <f t="shared" si="17"/>
        <v>Affy 1.0 ST</v>
      </c>
      <c r="G280" t="str">
        <f>"MGI:1321393"</f>
        <v>MGI:1321393</v>
      </c>
      <c r="H280" t="str">
        <f>"Timeless"</f>
        <v>Timeless</v>
      </c>
      <c r="I280" t="str">
        <f>"timeless homolog (Drosophila)"</f>
        <v>timeless homolog (Drosophila)</v>
      </c>
      <c r="J280" t="str">
        <f>"protein coding gene"</f>
        <v>protein coding gene</v>
      </c>
    </row>
    <row r="281" spans="1:10">
      <c r="A281">
        <v>10539617</v>
      </c>
      <c r="B281">
        <v>3.6819389137673699</v>
      </c>
      <c r="C281">
        <v>1.0289955975362099</v>
      </c>
      <c r="E281" t="str">
        <f>"10539617"</f>
        <v>10539617</v>
      </c>
      <c r="F281" t="str">
        <f t="shared" si="17"/>
        <v>Affy 1.0 ST</v>
      </c>
      <c r="G281" t="str">
        <f>"MGI:1934606"</f>
        <v>MGI:1934606</v>
      </c>
      <c r="H281" t="str">
        <f>"Alms1"</f>
        <v>Alms1</v>
      </c>
      <c r="I281" t="str">
        <f>"Alstrom syndrome 1 homolog (human)"</f>
        <v>Alstrom syndrome 1 homolog (human)</v>
      </c>
      <c r="J281" t="str">
        <f>"protein coding gene"</f>
        <v>protein coding gene</v>
      </c>
    </row>
    <row r="282" spans="1:10">
      <c r="A282">
        <v>10515086</v>
      </c>
      <c r="B282">
        <v>3.6671160387409798</v>
      </c>
      <c r="C282">
        <v>0.38704757915427002</v>
      </c>
      <c r="E282" t="str">
        <f>"10515086"</f>
        <v>10515086</v>
      </c>
      <c r="F282" t="str">
        <f>""</f>
        <v/>
      </c>
      <c r="G282" t="str">
        <f>"No associated gene"</f>
        <v>No associated gene</v>
      </c>
    </row>
    <row r="283" spans="1:10">
      <c r="A283">
        <v>10512489</v>
      </c>
      <c r="B283">
        <v>3.63538836488843</v>
      </c>
      <c r="C283">
        <v>2.1969547878284299</v>
      </c>
      <c r="E283" t="str">
        <f>"10512489"</f>
        <v>10512489</v>
      </c>
      <c r="F283" t="str">
        <f t="shared" ref="F283:F300" si="18">"Affy 1.0 ST"</f>
        <v>Affy 1.0 ST</v>
      </c>
      <c r="G283" t="str">
        <f>"MGI:3036286"</f>
        <v>MGI:3036286</v>
      </c>
      <c r="H283" t="str">
        <f>"E130306D19Rik"</f>
        <v>E130306D19Rik</v>
      </c>
      <c r="I283" t="str">
        <f>"RIKEN cDNA E130306D19 gene"</f>
        <v>RIKEN cDNA E130306D19 gene</v>
      </c>
      <c r="J283" t="str">
        <f t="shared" ref="J283:J289" si="19">"protein coding gene"</f>
        <v>protein coding gene</v>
      </c>
    </row>
    <row r="284" spans="1:10">
      <c r="A284">
        <v>10478355</v>
      </c>
      <c r="B284">
        <v>3.63031506145881</v>
      </c>
      <c r="C284">
        <v>1.7776978343741201</v>
      </c>
      <c r="E284" t="str">
        <f>"10478355"</f>
        <v>10478355</v>
      </c>
      <c r="F284" t="str">
        <f t="shared" si="18"/>
        <v>Affy 1.0 ST</v>
      </c>
      <c r="G284" t="str">
        <f>"MGI:101785"</f>
        <v>MGI:101785</v>
      </c>
      <c r="H284" t="str">
        <f>"Mybl2"</f>
        <v>Mybl2</v>
      </c>
      <c r="I284" t="str">
        <f>"myeloblastosis oncogene-like 2"</f>
        <v>myeloblastosis oncogene-like 2</v>
      </c>
      <c r="J284" t="str">
        <f t="shared" si="19"/>
        <v>protein coding gene</v>
      </c>
    </row>
    <row r="285" spans="1:10">
      <c r="A285">
        <v>10585586</v>
      </c>
      <c r="B285">
        <v>3.6223312068710301</v>
      </c>
      <c r="C285">
        <v>1.2144957482447301</v>
      </c>
      <c r="E285" t="str">
        <f>"10585586"</f>
        <v>10585586</v>
      </c>
      <c r="F285" t="str">
        <f t="shared" si="18"/>
        <v>Affy 1.0 ST</v>
      </c>
      <c r="G285" t="str">
        <f>"MGI:1925141"</f>
        <v>MGI:1925141</v>
      </c>
      <c r="H285" t="str">
        <f>"Ube2s"</f>
        <v>Ube2s</v>
      </c>
      <c r="I285" t="str">
        <f>"ubiquitin-conjugating enzyme E2S"</f>
        <v>ubiquitin-conjugating enzyme E2S</v>
      </c>
      <c r="J285" t="str">
        <f t="shared" si="19"/>
        <v>protein coding gene</v>
      </c>
    </row>
    <row r="286" spans="1:10">
      <c r="A286">
        <v>10405047</v>
      </c>
      <c r="B286">
        <v>3.6216668059388701</v>
      </c>
      <c r="C286">
        <v>1.36300147094112</v>
      </c>
      <c r="E286" t="str">
        <f>"10405047"</f>
        <v>10405047</v>
      </c>
      <c r="F286" t="str">
        <f t="shared" si="18"/>
        <v>Affy 1.0 ST</v>
      </c>
      <c r="G286" t="str">
        <f>"MGI:1913945"</f>
        <v>MGI:1913945</v>
      </c>
      <c r="H286" t="str">
        <f>"Aspn"</f>
        <v>Aspn</v>
      </c>
      <c r="I286" t="str">
        <f>"asporin"</f>
        <v>asporin</v>
      </c>
      <c r="J286" t="str">
        <f t="shared" si="19"/>
        <v>protein coding gene</v>
      </c>
    </row>
    <row r="287" spans="1:10">
      <c r="A287">
        <v>10530892</v>
      </c>
      <c r="B287">
        <v>3.6134625951774999</v>
      </c>
      <c r="C287">
        <v>1.36628227327744</v>
      </c>
      <c r="E287" t="str">
        <f>"10530892"</f>
        <v>10530892</v>
      </c>
      <c r="F287" t="str">
        <f t="shared" si="18"/>
        <v>Affy 1.0 ST</v>
      </c>
      <c r="G287" t="str">
        <f>"MGI:99700"</f>
        <v>MGI:99700</v>
      </c>
      <c r="H287" t="str">
        <f>"Cenpc1"</f>
        <v>Cenpc1</v>
      </c>
      <c r="I287" t="str">
        <f>"centromere protein C1"</f>
        <v>centromere protein C1</v>
      </c>
      <c r="J287" t="str">
        <f t="shared" si="19"/>
        <v>protein coding gene</v>
      </c>
    </row>
    <row r="288" spans="1:10">
      <c r="A288">
        <v>10394538</v>
      </c>
      <c r="B288">
        <v>3.6127519775839301</v>
      </c>
      <c r="C288">
        <v>2.17788377106758</v>
      </c>
      <c r="E288" t="str">
        <f>"10394538"</f>
        <v>10394538</v>
      </c>
      <c r="F288" t="str">
        <f t="shared" si="18"/>
        <v>Affy 1.0 ST</v>
      </c>
      <c r="G288" t="str">
        <f>"MGI:108451"</f>
        <v>MGI:108451</v>
      </c>
      <c r="H288" t="str">
        <f>"Acaca"</f>
        <v>Acaca</v>
      </c>
      <c r="I288" t="str">
        <f>"acetyl-Coenzyme A carboxylase alpha"</f>
        <v>acetyl-Coenzyme A carboxylase alpha</v>
      </c>
      <c r="J288" t="str">
        <f t="shared" si="19"/>
        <v>protein coding gene</v>
      </c>
    </row>
    <row r="289" spans="1:10">
      <c r="A289">
        <v>10472212</v>
      </c>
      <c r="B289">
        <v>3.61148986896794</v>
      </c>
      <c r="C289">
        <v>1.96560024196116</v>
      </c>
      <c r="E289" t="str">
        <f>"10472212"</f>
        <v>10472212</v>
      </c>
      <c r="F289" t="str">
        <f t="shared" si="18"/>
        <v>Affy 1.0 ST</v>
      </c>
      <c r="G289" t="str">
        <f>"MGI:109281"</f>
        <v>MGI:109281</v>
      </c>
      <c r="H289" t="str">
        <f>"Pkp4"</f>
        <v>Pkp4</v>
      </c>
      <c r="I289" t="str">
        <f>"plakophilin 4"</f>
        <v>plakophilin 4</v>
      </c>
      <c r="J289" t="str">
        <f t="shared" si="19"/>
        <v>protein coding gene</v>
      </c>
    </row>
    <row r="290" spans="1:10">
      <c r="A290">
        <v>10500329</v>
      </c>
      <c r="B290">
        <v>3.5868286752426499</v>
      </c>
      <c r="C290">
        <v>1.9244247894219699</v>
      </c>
      <c r="E290" t="str">
        <f>"10500329"</f>
        <v>10500329</v>
      </c>
      <c r="F290" t="str">
        <f t="shared" si="18"/>
        <v>Affy 1.0 ST</v>
      </c>
      <c r="G290" t="str">
        <f>"MGI:96097"</f>
        <v>MGI:96097</v>
      </c>
      <c r="H290" t="str">
        <f>"Hist2h2aa1"</f>
        <v>Hist2h2aa1</v>
      </c>
      <c r="I290" t="s">
        <v>2045</v>
      </c>
      <c r="J290" t="s">
        <v>2010</v>
      </c>
    </row>
    <row r="291" spans="1:10">
      <c r="A291">
        <v>10565862</v>
      </c>
      <c r="B291">
        <v>3.5862954466835801</v>
      </c>
      <c r="C291">
        <v>2.28536675924604</v>
      </c>
      <c r="E291" t="str">
        <f>"10565862"</f>
        <v>10565862</v>
      </c>
      <c r="F291" t="str">
        <f t="shared" si="18"/>
        <v>Affy 1.0 ST</v>
      </c>
      <c r="G291" t="str">
        <f>"MGI:1915217"</f>
        <v>MGI:1915217</v>
      </c>
      <c r="H291" t="str">
        <f>"Pold3"</f>
        <v>Pold3</v>
      </c>
      <c r="I291" t="s">
        <v>2063</v>
      </c>
      <c r="J291" t="s">
        <v>2010</v>
      </c>
    </row>
    <row r="292" spans="1:10">
      <c r="A292">
        <v>10542691</v>
      </c>
      <c r="B292">
        <v>3.5753876932365598</v>
      </c>
      <c r="C292">
        <v>1.80609069207552</v>
      </c>
      <c r="E292" t="str">
        <f>"10542691"</f>
        <v>10542691</v>
      </c>
      <c r="F292" t="str">
        <f t="shared" si="18"/>
        <v>Affy 1.0 ST</v>
      </c>
      <c r="G292" t="str">
        <f>"MGI:108424"</f>
        <v>MGI:108424</v>
      </c>
      <c r="H292" t="str">
        <f>"Lrmp"</f>
        <v>Lrmp</v>
      </c>
      <c r="I292" t="str">
        <f>"lymphoid-restricted membrane protein"</f>
        <v>lymphoid-restricted membrane protein</v>
      </c>
      <c r="J292" t="str">
        <f>"protein coding gene"</f>
        <v>protein coding gene</v>
      </c>
    </row>
    <row r="293" spans="1:10">
      <c r="A293">
        <v>10451225</v>
      </c>
      <c r="B293">
        <v>3.57403680943548</v>
      </c>
      <c r="C293">
        <v>0.59307599875133199</v>
      </c>
      <c r="E293" t="str">
        <f>"10451225"</f>
        <v>10451225</v>
      </c>
      <c r="F293" t="str">
        <f t="shared" si="18"/>
        <v>Affy 1.0 ST</v>
      </c>
      <c r="G293" t="str">
        <f>"MGI:1891457"</f>
        <v>MGI:1891457</v>
      </c>
      <c r="H293" t="str">
        <f>"Polh"</f>
        <v>Polh</v>
      </c>
      <c r="I293" t="s">
        <v>2084</v>
      </c>
      <c r="J293" t="s">
        <v>2010</v>
      </c>
    </row>
    <row r="294" spans="1:10">
      <c r="A294">
        <v>10515295</v>
      </c>
      <c r="B294">
        <v>3.5737552538787001</v>
      </c>
      <c r="C294">
        <v>0.88049126856397197</v>
      </c>
      <c r="E294" t="str">
        <f>"10515295"</f>
        <v>10515295</v>
      </c>
      <c r="F294" t="str">
        <f t="shared" si="18"/>
        <v>Affy 1.0 ST</v>
      </c>
      <c r="G294" t="str">
        <f>"MGI:894676"</f>
        <v>MGI:894676</v>
      </c>
      <c r="H294" t="str">
        <f>"Mast2"</f>
        <v>Mast2</v>
      </c>
      <c r="I294" t="str">
        <f>"microtubule associated serine/threonine kinase 2"</f>
        <v>microtubule associated serine/threonine kinase 2</v>
      </c>
      <c r="J294" t="str">
        <f t="shared" ref="J294:J300" si="20">"protein coding gene"</f>
        <v>protein coding gene</v>
      </c>
    </row>
    <row r="295" spans="1:10">
      <c r="A295">
        <v>10368508</v>
      </c>
      <c r="B295">
        <v>3.5631580905935598</v>
      </c>
      <c r="C295">
        <v>1.3038265799851501</v>
      </c>
      <c r="E295" t="str">
        <f>"10368508"</f>
        <v>10368508</v>
      </c>
      <c r="F295" t="str">
        <f t="shared" si="18"/>
        <v>Affy 1.0 ST</v>
      </c>
      <c r="G295" t="str">
        <f>"MGI:1913561"</f>
        <v>MGI:1913561</v>
      </c>
      <c r="H295" t="str">
        <f>"Cenpw"</f>
        <v>Cenpw</v>
      </c>
      <c r="I295" t="str">
        <f>"centromere protein W"</f>
        <v>centromere protein W</v>
      </c>
      <c r="J295" t="str">
        <f t="shared" si="20"/>
        <v>protein coding gene</v>
      </c>
    </row>
    <row r="296" spans="1:10">
      <c r="A296">
        <v>10559676</v>
      </c>
      <c r="B296">
        <v>3.5283729308531302</v>
      </c>
      <c r="C296">
        <v>0.72080132744830405</v>
      </c>
      <c r="E296" t="str">
        <f>"10559676"</f>
        <v>10559676</v>
      </c>
      <c r="F296" t="str">
        <f t="shared" si="18"/>
        <v>Affy 1.0 ST</v>
      </c>
      <c r="G296" t="str">
        <f>"MGI:1925141"</f>
        <v>MGI:1925141</v>
      </c>
      <c r="H296" t="str">
        <f>"Ube2s"</f>
        <v>Ube2s</v>
      </c>
      <c r="I296" t="str">
        <f>"ubiquitin-conjugating enzyme E2S"</f>
        <v>ubiquitin-conjugating enzyme E2S</v>
      </c>
      <c r="J296" t="str">
        <f t="shared" si="20"/>
        <v>protein coding gene</v>
      </c>
    </row>
    <row r="297" spans="1:10">
      <c r="A297">
        <v>10416155</v>
      </c>
      <c r="B297">
        <v>3.5117182592490601</v>
      </c>
      <c r="C297">
        <v>0.89557362781850702</v>
      </c>
      <c r="E297" t="str">
        <f>"10416155"</f>
        <v>10416155</v>
      </c>
      <c r="F297" t="str">
        <f t="shared" si="18"/>
        <v>Affy 1.0 ST</v>
      </c>
      <c r="G297" t="str">
        <f>"MGI:2145579"</f>
        <v>MGI:2145579</v>
      </c>
      <c r="H297" t="str">
        <f>"Kctd9"</f>
        <v>Kctd9</v>
      </c>
      <c r="I297" t="str">
        <f>"potassium channel tetramerisation domain containing 9"</f>
        <v>potassium channel tetramerisation domain containing 9</v>
      </c>
      <c r="J297" t="str">
        <f t="shared" si="20"/>
        <v>protein coding gene</v>
      </c>
    </row>
    <row r="298" spans="1:10">
      <c r="A298">
        <v>10557519</v>
      </c>
      <c r="B298">
        <v>3.4914740363700201</v>
      </c>
      <c r="C298">
        <v>1.7862708579839499</v>
      </c>
      <c r="E298" t="str">
        <f>"10557519"</f>
        <v>10557519</v>
      </c>
      <c r="F298" t="str">
        <f t="shared" si="18"/>
        <v>Affy 1.0 ST</v>
      </c>
      <c r="G298" t="str">
        <f>"MGI:2142364"</f>
        <v>MGI:2142364</v>
      </c>
      <c r="H298" t="str">
        <f>"Hirip3"</f>
        <v>Hirip3</v>
      </c>
      <c r="I298" t="str">
        <f>"HIRA interacting protein 3"</f>
        <v>HIRA interacting protein 3</v>
      </c>
      <c r="J298" t="str">
        <f t="shared" si="20"/>
        <v>protein coding gene</v>
      </c>
    </row>
    <row r="299" spans="1:10">
      <c r="A299">
        <v>10574033</v>
      </c>
      <c r="B299">
        <v>3.43532722811503</v>
      </c>
      <c r="C299">
        <v>1.8838601765810301</v>
      </c>
      <c r="E299" t="str">
        <f>"10574033"</f>
        <v>10574033</v>
      </c>
      <c r="F299" t="str">
        <f t="shared" si="18"/>
        <v>Affy 1.0 ST</v>
      </c>
      <c r="G299" t="str">
        <f>"MGI:1919055"</f>
        <v>MGI:1919055</v>
      </c>
      <c r="H299" t="str">
        <f>"Nup93"</f>
        <v>Nup93</v>
      </c>
      <c r="I299" t="str">
        <f>"nucleoporin 93"</f>
        <v>nucleoporin 93</v>
      </c>
      <c r="J299" t="str">
        <f t="shared" si="20"/>
        <v>protein coding gene</v>
      </c>
    </row>
    <row r="300" spans="1:10">
      <c r="A300">
        <v>10556640</v>
      </c>
      <c r="B300">
        <v>3.4133402247360598</v>
      </c>
      <c r="C300">
        <v>0.81531626203477603</v>
      </c>
      <c r="E300" t="str">
        <f>"10556640"</f>
        <v>10556640</v>
      </c>
      <c r="F300" t="str">
        <f t="shared" si="18"/>
        <v>Affy 1.0 ST</v>
      </c>
      <c r="G300" t="str">
        <f>"MGI:2141942"</f>
        <v>MGI:2141942</v>
      </c>
      <c r="H300" t="str">
        <f>"6330503K22Rik"</f>
        <v>6330503K22Rik</v>
      </c>
      <c r="I300" t="str">
        <f>"RIKEN cDNA 6330503K22 gene"</f>
        <v>RIKEN cDNA 6330503K22 gene</v>
      </c>
      <c r="J300" t="str">
        <f t="shared" si="20"/>
        <v>protein coding gene</v>
      </c>
    </row>
    <row r="301" spans="1:10">
      <c r="A301">
        <v>10608667</v>
      </c>
      <c r="B301">
        <v>3.3961777521510799</v>
      </c>
      <c r="C301">
        <v>0.73168111346127995</v>
      </c>
      <c r="E301" t="str">
        <f>"10608667"</f>
        <v>10608667</v>
      </c>
      <c r="F301" t="str">
        <f>""</f>
        <v/>
      </c>
      <c r="G301" t="str">
        <f>"No associated gene"</f>
        <v>No associated gene</v>
      </c>
    </row>
    <row r="302" spans="1:10">
      <c r="A302">
        <v>10379646</v>
      </c>
      <c r="B302">
        <v>3.3778453547021901</v>
      </c>
      <c r="C302">
        <v>1.23317205755806</v>
      </c>
      <c r="E302" t="str">
        <f>"10379646"</f>
        <v>10379646</v>
      </c>
      <c r="F302" t="str">
        <f>"Affy 1.0 ST"</f>
        <v>Affy 1.0 ST</v>
      </c>
      <c r="G302" t="str">
        <f>"MGI:1329005"</f>
        <v>MGI:1329005</v>
      </c>
      <c r="H302" t="str">
        <f>"Slfn3"</f>
        <v>Slfn3</v>
      </c>
      <c r="I302" t="str">
        <f>"schlafen 3"</f>
        <v>schlafen 3</v>
      </c>
      <c r="J302" t="str">
        <f>"protein coding gene"</f>
        <v>protein coding gene</v>
      </c>
    </row>
    <row r="303" spans="1:10">
      <c r="A303">
        <v>10554281</v>
      </c>
      <c r="B303">
        <v>3.3654077744878901</v>
      </c>
      <c r="C303">
        <v>0.66663041092664399</v>
      </c>
      <c r="E303" t="str">
        <f>"10554281"</f>
        <v>10554281</v>
      </c>
      <c r="F303" t="str">
        <f>"Affy 1.0 ST"</f>
        <v>Affy 1.0 ST</v>
      </c>
      <c r="G303" t="str">
        <f>"MGI:2384790"</f>
        <v>MGI:2384790</v>
      </c>
      <c r="H303" t="str">
        <f>"Fanci"</f>
        <v>Fanci</v>
      </c>
      <c r="I303" t="s">
        <v>2054</v>
      </c>
      <c r="J303" t="s">
        <v>2010</v>
      </c>
    </row>
    <row r="304" spans="1:10">
      <c r="A304">
        <v>10371888</v>
      </c>
      <c r="B304">
        <v>3.3560153172428699</v>
      </c>
      <c r="C304">
        <v>1.71402371237325</v>
      </c>
      <c r="E304" t="str">
        <f>"10371888"</f>
        <v>10371888</v>
      </c>
      <c r="F304" t="str">
        <f>"Affy 1.0 ST"</f>
        <v>Affy 1.0 ST</v>
      </c>
      <c r="G304" t="str">
        <f>"MGI:106920"</f>
        <v>MGI:106920</v>
      </c>
      <c r="H304" t="str">
        <f>"Tmpo"</f>
        <v>Tmpo</v>
      </c>
      <c r="I304" t="str">
        <f>"thymopoietin"</f>
        <v>thymopoietin</v>
      </c>
      <c r="J304" t="str">
        <f>"protein coding gene"</f>
        <v>protein coding gene</v>
      </c>
    </row>
    <row r="305" spans="1:10">
      <c r="A305">
        <v>10381664</v>
      </c>
      <c r="B305">
        <v>3.35565754203824</v>
      </c>
      <c r="C305">
        <v>0.95346829814942602</v>
      </c>
      <c r="E305" t="str">
        <f>"10381664"</f>
        <v>10381664</v>
      </c>
      <c r="F305" t="str">
        <f>""</f>
        <v/>
      </c>
      <c r="G305" t="str">
        <f>"No associated gene"</f>
        <v>No associated gene</v>
      </c>
    </row>
    <row r="306" spans="1:10">
      <c r="A306">
        <v>10397719</v>
      </c>
      <c r="B306">
        <v>3.33784384812764</v>
      </c>
      <c r="C306">
        <v>0.59227161079675605</v>
      </c>
      <c r="E306" t="str">
        <f>"10397719"</f>
        <v>10397719</v>
      </c>
      <c r="F306" t="str">
        <f t="shared" ref="F306:F340" si="21">"Affy 1.0 ST"</f>
        <v>Affy 1.0 ST</v>
      </c>
      <c r="G306" t="str">
        <f>"MGI:1920036"</f>
        <v>MGI:1920036</v>
      </c>
      <c r="H306" t="str">
        <f>"Tdp1"</f>
        <v>Tdp1</v>
      </c>
      <c r="I306" t="str">
        <f>"tyrosyl-DNA phosphodiesterase 1"</f>
        <v>tyrosyl-DNA phosphodiesterase 1</v>
      </c>
      <c r="J306" t="str">
        <f>"protein coding gene"</f>
        <v>protein coding gene</v>
      </c>
    </row>
    <row r="307" spans="1:10">
      <c r="A307">
        <v>10400189</v>
      </c>
      <c r="B307">
        <v>3.3270081844468602</v>
      </c>
      <c r="C307">
        <v>1.3692397610703</v>
      </c>
      <c r="E307" t="str">
        <f>"10400189"</f>
        <v>10400189</v>
      </c>
      <c r="F307" t="str">
        <f t="shared" si="21"/>
        <v>Affy 1.0 ST</v>
      </c>
      <c r="G307" t="str">
        <f>"MGI:3643000"</f>
        <v>MGI:3643000</v>
      </c>
      <c r="H307" t="str">
        <f>"Gm7172"</f>
        <v>Gm7172</v>
      </c>
      <c r="I307" t="str">
        <f>"predicted gene 7172"</f>
        <v>predicted gene 7172</v>
      </c>
      <c r="J307" t="str">
        <f>"pseudogene"</f>
        <v>pseudogene</v>
      </c>
    </row>
    <row r="308" spans="1:10">
      <c r="A308">
        <v>10493137</v>
      </c>
      <c r="B308">
        <v>3.3209998037912798</v>
      </c>
      <c r="C308">
        <v>1.70450849738911</v>
      </c>
      <c r="E308" t="str">
        <f>"10493137"</f>
        <v>10493137</v>
      </c>
      <c r="F308" t="str">
        <f t="shared" si="21"/>
        <v>Affy 1.0 ST</v>
      </c>
      <c r="G308" t="str">
        <f>"MGI:3028642"</f>
        <v>MGI:3028642</v>
      </c>
      <c r="H308" t="str">
        <f>"Iqgap3"</f>
        <v>Iqgap3</v>
      </c>
      <c r="I308" t="str">
        <f>"IQ motif containing GTPase activating protein 3"</f>
        <v>IQ motif containing GTPase activating protein 3</v>
      </c>
      <c r="J308" t="str">
        <f t="shared" ref="J308:J316" si="22">"protein coding gene"</f>
        <v>protein coding gene</v>
      </c>
    </row>
    <row r="309" spans="1:10">
      <c r="A309">
        <v>10381548</v>
      </c>
      <c r="B309">
        <v>3.3157762380423401</v>
      </c>
      <c r="C309">
        <v>1.5223616637964299</v>
      </c>
      <c r="E309" t="str">
        <f>"10381548"</f>
        <v>10381548</v>
      </c>
      <c r="F309" t="str">
        <f t="shared" si="21"/>
        <v>Affy 1.0 ST</v>
      </c>
      <c r="G309" t="str">
        <f>"MGI:2387601"</f>
        <v>MGI:2387601</v>
      </c>
      <c r="H309" t="str">
        <f>"BC030867"</f>
        <v>BC030867</v>
      </c>
      <c r="I309" t="str">
        <f>"cDNA sequence BC030867"</f>
        <v>cDNA sequence BC030867</v>
      </c>
      <c r="J309" t="str">
        <f t="shared" si="22"/>
        <v>protein coding gene</v>
      </c>
    </row>
    <row r="310" spans="1:10">
      <c r="A310">
        <v>10354275</v>
      </c>
      <c r="B310">
        <v>3.2889343687210499</v>
      </c>
      <c r="C310">
        <v>1.1388722906695199</v>
      </c>
      <c r="E310" t="str">
        <f>"10354275"</f>
        <v>10354275</v>
      </c>
      <c r="F310" t="str">
        <f t="shared" si="21"/>
        <v>Affy 1.0 ST</v>
      </c>
      <c r="G310" t="str">
        <f>"MGI:1922873"</f>
        <v>MGI:1922873</v>
      </c>
      <c r="H310" t="str">
        <f>"1700029F09Rik"</f>
        <v>1700029F09Rik</v>
      </c>
      <c r="I310" t="str">
        <f>"RIKEN cDNA 1700029F09 gene"</f>
        <v>RIKEN cDNA 1700029F09 gene</v>
      </c>
      <c r="J310" t="str">
        <f t="shared" si="22"/>
        <v>protein coding gene</v>
      </c>
    </row>
    <row r="311" spans="1:10">
      <c r="A311">
        <v>10430748</v>
      </c>
      <c r="B311">
        <v>3.2885567709868799</v>
      </c>
      <c r="C311">
        <v>0.97891572187743203</v>
      </c>
      <c r="E311" t="str">
        <f>"10430748"</f>
        <v>10430748</v>
      </c>
      <c r="F311" t="str">
        <f t="shared" si="21"/>
        <v>Affy 1.0 ST</v>
      </c>
      <c r="G311" t="str">
        <f>"MGI:103071"</f>
        <v>MGI:103071</v>
      </c>
      <c r="H311" t="str">
        <f>"Rangap1"</f>
        <v>Rangap1</v>
      </c>
      <c r="I311" t="str">
        <f>"RAN GTPase activating protein 1"</f>
        <v>RAN GTPase activating protein 1</v>
      </c>
      <c r="J311" t="str">
        <f t="shared" si="22"/>
        <v>protein coding gene</v>
      </c>
    </row>
    <row r="312" spans="1:10">
      <c r="A312">
        <v>10481931</v>
      </c>
      <c r="B312">
        <v>3.2812875602401999</v>
      </c>
      <c r="C312">
        <v>0.22754922341000999</v>
      </c>
      <c r="E312" t="str">
        <f>"10481931"</f>
        <v>10481931</v>
      </c>
      <c r="F312" t="str">
        <f t="shared" si="21"/>
        <v>Affy 1.0 ST</v>
      </c>
      <c r="G312" t="str">
        <f>"MGI:1921266"</f>
        <v>MGI:1921266</v>
      </c>
      <c r="H312" t="str">
        <f>"Phf19"</f>
        <v>Phf19</v>
      </c>
      <c r="I312" t="str">
        <f>"PHD finger protein 19"</f>
        <v>PHD finger protein 19</v>
      </c>
      <c r="J312" t="str">
        <f t="shared" si="22"/>
        <v>protein coding gene</v>
      </c>
    </row>
    <row r="313" spans="1:10">
      <c r="A313">
        <v>10489127</v>
      </c>
      <c r="B313">
        <v>3.26747708289082</v>
      </c>
      <c r="C313">
        <v>1.63554894750723</v>
      </c>
      <c r="E313" t="str">
        <f>"10489127"</f>
        <v>10489127</v>
      </c>
      <c r="F313" t="str">
        <f t="shared" si="21"/>
        <v>Affy 1.0 ST</v>
      </c>
      <c r="G313" t="str">
        <f>"MGI:103300"</f>
        <v>MGI:103300</v>
      </c>
      <c r="H313" t="str">
        <f>"Rbl1"</f>
        <v>Rbl1</v>
      </c>
      <c r="I313" t="str">
        <f>"retinoblastoma-like 1 (p107)"</f>
        <v>retinoblastoma-like 1 (p107)</v>
      </c>
      <c r="J313" t="str">
        <f t="shared" si="22"/>
        <v>protein coding gene</v>
      </c>
    </row>
    <row r="314" spans="1:10">
      <c r="A314">
        <v>10571911</v>
      </c>
      <c r="B314">
        <v>3.2673438362017699</v>
      </c>
      <c r="C314">
        <v>1.71369912624703</v>
      </c>
      <c r="E314" t="str">
        <f>"10571911"</f>
        <v>10571911</v>
      </c>
      <c r="F314" t="str">
        <f t="shared" si="21"/>
        <v>Affy 1.0 ST</v>
      </c>
      <c r="G314" t="str">
        <f>"MGI:1919862"</f>
        <v>MGI:1919862</v>
      </c>
      <c r="H314" t="str">
        <f>"2700029M09Rik"</f>
        <v>2700029M09Rik</v>
      </c>
      <c r="I314" t="str">
        <f>"RIKEN cDNA 2700029M09 gene"</f>
        <v>RIKEN cDNA 2700029M09 gene</v>
      </c>
      <c r="J314" t="str">
        <f t="shared" si="22"/>
        <v>protein coding gene</v>
      </c>
    </row>
    <row r="315" spans="1:10">
      <c r="A315">
        <v>10372091</v>
      </c>
      <c r="B315">
        <v>3.2652209450162499</v>
      </c>
      <c r="C315">
        <v>1.1536477015151101</v>
      </c>
      <c r="E315" t="str">
        <f>"10372091"</f>
        <v>10372091</v>
      </c>
      <c r="F315" t="str">
        <f t="shared" si="21"/>
        <v>Affy 1.0 ST</v>
      </c>
      <c r="G315" t="str">
        <f>"MGI:1922680"</f>
        <v>MGI:1922680</v>
      </c>
      <c r="H315" t="str">
        <f>"3200002M19Rik"</f>
        <v>3200002M19Rik</v>
      </c>
      <c r="I315" t="str">
        <f>"RIKEN cDNA 3200002M19 gene"</f>
        <v>RIKEN cDNA 3200002M19 gene</v>
      </c>
      <c r="J315" t="str">
        <f t="shared" si="22"/>
        <v>protein coding gene</v>
      </c>
    </row>
    <row r="316" spans="1:10">
      <c r="A316">
        <v>10582008</v>
      </c>
      <c r="B316">
        <v>3.2603020661054098</v>
      </c>
      <c r="C316">
        <v>0.78170254454056998</v>
      </c>
      <c r="E316" t="str">
        <f>"10582008"</f>
        <v>10582008</v>
      </c>
      <c r="F316" t="str">
        <f t="shared" si="21"/>
        <v>Affy 1.0 ST</v>
      </c>
      <c r="G316" t="str">
        <f>"MGI:1913781"</f>
        <v>MGI:1913781</v>
      </c>
      <c r="H316" t="str">
        <f>"2310061C15Rik"</f>
        <v>2310061C15Rik</v>
      </c>
      <c r="I316" t="str">
        <f>"RIKEN cDNA 2310061C15 gene"</f>
        <v>RIKEN cDNA 2310061C15 gene</v>
      </c>
      <c r="J316" t="str">
        <f t="shared" si="22"/>
        <v>protein coding gene</v>
      </c>
    </row>
    <row r="317" spans="1:10">
      <c r="A317">
        <v>10587780</v>
      </c>
      <c r="B317">
        <v>3.2573262926151201</v>
      </c>
      <c r="C317">
        <v>1.9051813382457901</v>
      </c>
      <c r="E317" t="str">
        <f>"10587780"</f>
        <v>10587780</v>
      </c>
      <c r="F317" t="str">
        <f t="shared" si="21"/>
        <v>Affy 1.0 ST</v>
      </c>
      <c r="G317" t="str">
        <f>"MGI:107804"</f>
        <v>MGI:107804</v>
      </c>
      <c r="H317" t="str">
        <f>"Tuba1b"</f>
        <v>Tuba1b</v>
      </c>
      <c r="I317" t="s">
        <v>2005</v>
      </c>
      <c r="J317" t="s">
        <v>2010</v>
      </c>
    </row>
    <row r="318" spans="1:10">
      <c r="A318">
        <v>10366983</v>
      </c>
      <c r="B318">
        <v>3.2513433035064701</v>
      </c>
      <c r="C318">
        <v>1.4575717892745099</v>
      </c>
      <c r="E318" t="str">
        <f>"10366983"</f>
        <v>10366983</v>
      </c>
      <c r="F318" t="str">
        <f t="shared" si="21"/>
        <v>Affy 1.0 ST</v>
      </c>
      <c r="G318" t="str">
        <f>"MGI:2446113"</f>
        <v>MGI:2446113</v>
      </c>
      <c r="H318" t="str">
        <f>"Tmem194"</f>
        <v>Tmem194</v>
      </c>
      <c r="I318" t="str">
        <f>"transmembrane protein 194"</f>
        <v>transmembrane protein 194</v>
      </c>
      <c r="J318" t="str">
        <f t="shared" ref="J318:J327" si="23">"protein coding gene"</f>
        <v>protein coding gene</v>
      </c>
    </row>
    <row r="319" spans="1:10">
      <c r="A319">
        <v>10365574</v>
      </c>
      <c r="B319">
        <v>3.2234077313930598</v>
      </c>
      <c r="C319">
        <v>1.4122677585514201</v>
      </c>
      <c r="E319" t="str">
        <f>"10365574"</f>
        <v>10365574</v>
      </c>
      <c r="F319" t="str">
        <f t="shared" si="21"/>
        <v>Affy 1.0 ST</v>
      </c>
      <c r="G319" t="str">
        <f>"MGI:97629"</f>
        <v>MGI:97629</v>
      </c>
      <c r="H319" t="str">
        <f>"Pmch"</f>
        <v>Pmch</v>
      </c>
      <c r="I319" t="str">
        <f>"pro-melanin-concentrating hormone"</f>
        <v>pro-melanin-concentrating hormone</v>
      </c>
      <c r="J319" t="str">
        <f t="shared" si="23"/>
        <v>protein coding gene</v>
      </c>
    </row>
    <row r="320" spans="1:10">
      <c r="A320">
        <v>10546834</v>
      </c>
      <c r="B320">
        <v>3.2217404133636198</v>
      </c>
      <c r="C320">
        <v>1.4102632797688699</v>
      </c>
      <c r="E320" t="str">
        <f>"10546834"</f>
        <v>10546834</v>
      </c>
      <c r="F320" t="str">
        <f t="shared" si="21"/>
        <v>Affy 1.0 ST</v>
      </c>
      <c r="G320" t="str">
        <f>"MGI:1890476"</f>
        <v>MGI:1890476</v>
      </c>
      <c r="H320" t="str">
        <f>"Rad18"</f>
        <v>Rad18</v>
      </c>
      <c r="I320" t="str">
        <f>"RAD18 homolog (S. cerevisiae)"</f>
        <v>RAD18 homolog (S. cerevisiae)</v>
      </c>
      <c r="J320" t="str">
        <f t="shared" si="23"/>
        <v>protein coding gene</v>
      </c>
    </row>
    <row r="321" spans="1:10">
      <c r="A321">
        <v>10583834</v>
      </c>
      <c r="B321">
        <v>3.2164587300235099</v>
      </c>
      <c r="C321">
        <v>0.84417477404391505</v>
      </c>
      <c r="E321" t="str">
        <f>"10583834"</f>
        <v>10583834</v>
      </c>
      <c r="F321" t="str">
        <f t="shared" si="21"/>
        <v>Affy 1.0 ST</v>
      </c>
      <c r="G321" t="str">
        <f>"MGI:1915533"</f>
        <v>MGI:1915533</v>
      </c>
      <c r="H321" t="str">
        <f>"9530077C05Rik"</f>
        <v>9530077C05Rik</v>
      </c>
      <c r="I321" t="str">
        <f>"RIKEN cDNA 9530077C05 gene"</f>
        <v>RIKEN cDNA 9530077C05 gene</v>
      </c>
      <c r="J321" t="str">
        <f t="shared" si="23"/>
        <v>protein coding gene</v>
      </c>
    </row>
    <row r="322" spans="1:10">
      <c r="A322">
        <v>10469035</v>
      </c>
      <c r="B322">
        <v>3.2035520718976298</v>
      </c>
      <c r="C322">
        <v>1.2102727462404399</v>
      </c>
      <c r="E322" t="str">
        <f>"10469035"</f>
        <v>10469035</v>
      </c>
      <c r="F322" t="str">
        <f t="shared" si="21"/>
        <v>Affy 1.0 ST</v>
      </c>
      <c r="G322" t="str">
        <f>"MGI:1923580"</f>
        <v>MGI:1923580</v>
      </c>
      <c r="H322" t="str">
        <f>"Sephs1"</f>
        <v>Sephs1</v>
      </c>
      <c r="I322" t="str">
        <f>"selenophosphate synthetase 1"</f>
        <v>selenophosphate synthetase 1</v>
      </c>
      <c r="J322" t="str">
        <f t="shared" si="23"/>
        <v>protein coding gene</v>
      </c>
    </row>
    <row r="323" spans="1:10">
      <c r="A323">
        <v>10568568</v>
      </c>
      <c r="B323">
        <v>3.20101477643985</v>
      </c>
      <c r="C323">
        <v>1.5170105689287201</v>
      </c>
      <c r="E323" t="str">
        <f>"10568568"</f>
        <v>10568568</v>
      </c>
      <c r="F323" t="str">
        <f t="shared" si="21"/>
        <v>Affy 1.0 ST</v>
      </c>
      <c r="G323" t="str">
        <f>"MGI:97394"</f>
        <v>MGI:97394</v>
      </c>
      <c r="H323" t="str">
        <f>"Oat"</f>
        <v>Oat</v>
      </c>
      <c r="I323" t="str">
        <f>"ornithine aminotransferase"</f>
        <v>ornithine aminotransferase</v>
      </c>
      <c r="J323" t="str">
        <f t="shared" si="23"/>
        <v>protein coding gene</v>
      </c>
    </row>
    <row r="324" spans="1:10">
      <c r="A324">
        <v>10528790</v>
      </c>
      <c r="B324">
        <v>3.1645126287742502</v>
      </c>
      <c r="C324">
        <v>1.09454375882383</v>
      </c>
      <c r="E324" t="str">
        <f>"10528790"</f>
        <v>10528790</v>
      </c>
      <c r="F324" t="str">
        <f t="shared" si="21"/>
        <v>Affy 1.0 ST</v>
      </c>
      <c r="G324" t="str">
        <f>"MGI:1927345"</f>
        <v>MGI:1927345</v>
      </c>
      <c r="H324" t="str">
        <f>"Xrcc2"</f>
        <v>Xrcc2</v>
      </c>
      <c r="I324" t="str">
        <f>"X-ray repair complementing defective repair in Chinese hamster cells 2"</f>
        <v>X-ray repair complementing defective repair in Chinese hamster cells 2</v>
      </c>
      <c r="J324" t="str">
        <f t="shared" si="23"/>
        <v>protein coding gene</v>
      </c>
    </row>
    <row r="325" spans="1:10">
      <c r="A325">
        <v>10576140</v>
      </c>
      <c r="B325">
        <v>3.1516835420098599</v>
      </c>
      <c r="C325">
        <v>1.22107552480387</v>
      </c>
      <c r="E325" t="str">
        <f>"10576140"</f>
        <v>10576140</v>
      </c>
      <c r="F325" t="str">
        <f t="shared" si="21"/>
        <v>Affy 1.0 ST</v>
      </c>
      <c r="G325" t="str">
        <f>"MGI:1914427"</f>
        <v>MGI:1914427</v>
      </c>
      <c r="H325" t="str">
        <f>"Cdt1"</f>
        <v>Cdt1</v>
      </c>
      <c r="I325" t="str">
        <f>"chromatin licensing and DNA replication factor 1"</f>
        <v>chromatin licensing and DNA replication factor 1</v>
      </c>
      <c r="J325" t="str">
        <f t="shared" si="23"/>
        <v>protein coding gene</v>
      </c>
    </row>
    <row r="326" spans="1:10">
      <c r="A326">
        <v>10582599</v>
      </c>
      <c r="B326">
        <v>3.1440265865392401</v>
      </c>
      <c r="C326">
        <v>1.35963985454855</v>
      </c>
      <c r="E326" t="str">
        <f>"10582599"</f>
        <v>10582599</v>
      </c>
      <c r="F326" t="str">
        <f t="shared" si="21"/>
        <v>Affy 1.0 ST</v>
      </c>
      <c r="G326" t="str">
        <f>"MGI:2442620"</f>
        <v>MGI:2442620</v>
      </c>
      <c r="H326" t="str">
        <f>"Nup133"</f>
        <v>Nup133</v>
      </c>
      <c r="I326" t="str">
        <f>"nucleoporin 133"</f>
        <v>nucleoporin 133</v>
      </c>
      <c r="J326" t="str">
        <f t="shared" si="23"/>
        <v>protein coding gene</v>
      </c>
    </row>
    <row r="327" spans="1:10">
      <c r="A327">
        <v>10355327</v>
      </c>
      <c r="B327">
        <v>3.1435631954662</v>
      </c>
      <c r="C327">
        <v>1.0115578326227099</v>
      </c>
      <c r="E327" t="str">
        <f>"10355327"</f>
        <v>10355327</v>
      </c>
      <c r="F327" t="str">
        <f t="shared" si="21"/>
        <v>Affy 1.0 ST</v>
      </c>
      <c r="G327" t="str">
        <f>"MGI:1328361"</f>
        <v>MGI:1328361</v>
      </c>
      <c r="H327" t="str">
        <f>"Bard1"</f>
        <v>Bard1</v>
      </c>
      <c r="I327" t="str">
        <f>"BRCA1 associated RING domain 1"</f>
        <v>BRCA1 associated RING domain 1</v>
      </c>
      <c r="J327" t="str">
        <f t="shared" si="23"/>
        <v>protein coding gene</v>
      </c>
    </row>
    <row r="328" spans="1:10">
      <c r="A328">
        <v>10603135</v>
      </c>
      <c r="B328">
        <v>3.13867626089539</v>
      </c>
      <c r="C328">
        <v>0.94947244498974004</v>
      </c>
      <c r="E328" t="str">
        <f>"10603135"</f>
        <v>10603135</v>
      </c>
      <c r="F328" t="str">
        <f t="shared" si="21"/>
        <v>Affy 1.0 ST</v>
      </c>
      <c r="G328" t="str">
        <f>"MGI:2448558"</f>
        <v>MGI:2448558</v>
      </c>
      <c r="H328" t="str">
        <f>"Fancb"</f>
        <v>Fancb</v>
      </c>
      <c r="I328" t="s">
        <v>2180</v>
      </c>
      <c r="J328" t="s">
        <v>2010</v>
      </c>
    </row>
    <row r="329" spans="1:10">
      <c r="A329">
        <v>10591556</v>
      </c>
      <c r="B329">
        <v>3.1361533666490198</v>
      </c>
      <c r="C329">
        <v>1.1778908143954501</v>
      </c>
      <c r="E329" t="str">
        <f>"10591556"</f>
        <v>10591556</v>
      </c>
      <c r="F329" t="str">
        <f t="shared" si="21"/>
        <v>Affy 1.0 ST</v>
      </c>
      <c r="G329" t="str">
        <f>"MGI:1914879"</f>
        <v>MGI:1914879</v>
      </c>
      <c r="H329" t="str">
        <f>"Spc24"</f>
        <v>Spc24</v>
      </c>
      <c r="I329" t="s">
        <v>2018</v>
      </c>
      <c r="J329" t="s">
        <v>2010</v>
      </c>
    </row>
    <row r="330" spans="1:10">
      <c r="A330">
        <v>10545534</v>
      </c>
      <c r="B330">
        <v>3.1296838454468698</v>
      </c>
      <c r="C330">
        <v>1.0443142586248599</v>
      </c>
      <c r="E330" t="str">
        <f>"10545534"</f>
        <v>10545534</v>
      </c>
      <c r="F330" t="str">
        <f t="shared" si="21"/>
        <v>Affy 1.0 ST</v>
      </c>
      <c r="G330" t="str">
        <f>"MGI:2388131"</f>
        <v>MGI:2388131</v>
      </c>
      <c r="H330" t="str">
        <f>"Rnf26"</f>
        <v>Rnf26</v>
      </c>
      <c r="I330" t="str">
        <f>"ring finger protein 26"</f>
        <v>ring finger protein 26</v>
      </c>
      <c r="J330" t="str">
        <f>"protein coding gene"</f>
        <v>protein coding gene</v>
      </c>
    </row>
    <row r="331" spans="1:10">
      <c r="A331">
        <v>10592154</v>
      </c>
      <c r="B331">
        <v>3.1233246009946098</v>
      </c>
      <c r="C331">
        <v>0.116526833807628</v>
      </c>
      <c r="E331" t="str">
        <f>"10592154"</f>
        <v>10592154</v>
      </c>
      <c r="F331" t="str">
        <f t="shared" si="21"/>
        <v>Affy 1.0 ST</v>
      </c>
      <c r="G331" t="str">
        <f>"MGI:1924082"</f>
        <v>MGI:1924082</v>
      </c>
      <c r="H331" t="str">
        <f>"Hyls1"</f>
        <v>Hyls1</v>
      </c>
      <c r="I331" t="str">
        <f>"hydrolethalus syndrome 1"</f>
        <v>hydrolethalus syndrome 1</v>
      </c>
      <c r="J331" t="str">
        <f>"protein coding gene"</f>
        <v>protein coding gene</v>
      </c>
    </row>
    <row r="332" spans="1:10">
      <c r="A332">
        <v>10394560</v>
      </c>
      <c r="B332">
        <v>3.1217415282291801</v>
      </c>
      <c r="C332">
        <v>1.6999745670266699</v>
      </c>
      <c r="E332" t="str">
        <f>"10394560"</f>
        <v>10394560</v>
      </c>
      <c r="F332" t="str">
        <f t="shared" si="21"/>
        <v>Affy 1.0 ST</v>
      </c>
      <c r="G332" t="str">
        <f>"MGI:1914491"</f>
        <v>MGI:1914491</v>
      </c>
      <c r="H332" t="str">
        <f>"Smc6"</f>
        <v>Smc6</v>
      </c>
      <c r="I332" t="str">
        <f>"structural maintenance of chromosomes 6"</f>
        <v>structural maintenance of chromosomes 6</v>
      </c>
      <c r="J332" t="str">
        <f>"protein coding gene"</f>
        <v>protein coding gene</v>
      </c>
    </row>
    <row r="333" spans="1:10">
      <c r="A333">
        <v>10404028</v>
      </c>
      <c r="B333">
        <v>3.1131787012080898</v>
      </c>
      <c r="C333">
        <v>0.98881442931961006</v>
      </c>
      <c r="E333" t="str">
        <f>"10404028"</f>
        <v>10404028</v>
      </c>
      <c r="F333" t="str">
        <f t="shared" si="21"/>
        <v>Affy 1.0 ST</v>
      </c>
      <c r="G333" t="str">
        <f>"MGI:2145541"</f>
        <v>MGI:2145541</v>
      </c>
      <c r="H333" t="str">
        <f>"Hist1h3g"</f>
        <v>Hist1h3g</v>
      </c>
      <c r="I333" t="s">
        <v>2019</v>
      </c>
      <c r="J333" t="s">
        <v>2010</v>
      </c>
    </row>
    <row r="334" spans="1:10">
      <c r="A334">
        <v>10490815</v>
      </c>
      <c r="B334">
        <v>3.1048202025154201</v>
      </c>
      <c r="C334">
        <v>0.98963319851725795</v>
      </c>
      <c r="E334" t="str">
        <f>"10490815"</f>
        <v>10490815</v>
      </c>
      <c r="F334" t="str">
        <f t="shared" si="21"/>
        <v>Affy 1.0 ST</v>
      </c>
      <c r="G334" t="str">
        <f>"MGI:3645248"</f>
        <v>MGI:3645248</v>
      </c>
      <c r="H334" t="str">
        <f>"Gm5841"</f>
        <v>Gm5841</v>
      </c>
      <c r="I334" t="str">
        <f>"predicted gene 5841"</f>
        <v>predicted gene 5841</v>
      </c>
      <c r="J334" t="str">
        <f>"pseudogene"</f>
        <v>pseudogene</v>
      </c>
    </row>
    <row r="335" spans="1:10">
      <c r="A335">
        <v>10385153</v>
      </c>
      <c r="B335">
        <v>3.1024705466101699</v>
      </c>
      <c r="C335">
        <v>1.0869097419078499</v>
      </c>
      <c r="E335" t="str">
        <f>"10385153"</f>
        <v>10385153</v>
      </c>
      <c r="F335" t="str">
        <f t="shared" si="21"/>
        <v>Affy 1.0 ST</v>
      </c>
      <c r="G335" t="str">
        <f>"MGI:1917635"</f>
        <v>MGI:1917635</v>
      </c>
      <c r="H335" t="str">
        <f>"Ccdc99"</f>
        <v>Ccdc99</v>
      </c>
      <c r="I335" t="str">
        <f>"coiled-coil domain containing 99"</f>
        <v>coiled-coil domain containing 99</v>
      </c>
      <c r="J335" t="str">
        <f>"protein coding gene"</f>
        <v>protein coding gene</v>
      </c>
    </row>
    <row r="336" spans="1:10">
      <c r="A336">
        <v>10350090</v>
      </c>
      <c r="B336">
        <v>3.09135089489292</v>
      </c>
      <c r="C336">
        <v>0.79527164359681801</v>
      </c>
      <c r="E336" t="str">
        <f>"10350090"</f>
        <v>10350090</v>
      </c>
      <c r="F336" t="str">
        <f t="shared" si="21"/>
        <v>Affy 1.0 ST</v>
      </c>
      <c r="G336" t="str">
        <f>"MGI:1914446"</f>
        <v>MGI:1914446</v>
      </c>
      <c r="H336" t="str">
        <f>"Ube2t"</f>
        <v>Ube2t</v>
      </c>
      <c r="I336" t="str">
        <f>"ubiquitin-conjugating enzyme E2T (putative)"</f>
        <v>ubiquitin-conjugating enzyme E2T (putative)</v>
      </c>
      <c r="J336" t="str">
        <f>"protein coding gene"</f>
        <v>protein coding gene</v>
      </c>
    </row>
    <row r="337" spans="1:10">
      <c r="A337">
        <v>10494322</v>
      </c>
      <c r="B337">
        <v>3.07958302472534</v>
      </c>
      <c r="C337">
        <v>0.614095739999862</v>
      </c>
      <c r="E337" t="str">
        <f>"10494322"</f>
        <v>10494322</v>
      </c>
      <c r="F337" t="str">
        <f t="shared" si="21"/>
        <v>Affy 1.0 ST</v>
      </c>
      <c r="G337" t="str">
        <f>"MGI:1913721"</f>
        <v>MGI:1913721</v>
      </c>
      <c r="H337" t="str">
        <f>"Anp32e"</f>
        <v>Anp32e</v>
      </c>
      <c r="I337" t="s">
        <v>2020</v>
      </c>
      <c r="J337" t="s">
        <v>2010</v>
      </c>
    </row>
    <row r="338" spans="1:10">
      <c r="A338">
        <v>10371159</v>
      </c>
      <c r="B338">
        <v>3.0782004724319001</v>
      </c>
      <c r="C338">
        <v>0.97459303746624004</v>
      </c>
      <c r="E338" t="str">
        <f>"10371159"</f>
        <v>10371159</v>
      </c>
      <c r="F338" t="str">
        <f t="shared" si="21"/>
        <v>Affy 1.0 ST</v>
      </c>
      <c r="G338" t="str">
        <f>"MGI:1926790"</f>
        <v>MGI:1926790</v>
      </c>
      <c r="H338" t="str">
        <f>"Fzr1"</f>
        <v>Fzr1</v>
      </c>
      <c r="I338" t="str">
        <f>"fizzy/cell division cycle 20 related 1 (Drosophila)"</f>
        <v>fizzy/cell division cycle 20 related 1 (Drosophila)</v>
      </c>
      <c r="J338" t="str">
        <f>"protein coding gene"</f>
        <v>protein coding gene</v>
      </c>
    </row>
    <row r="339" spans="1:10">
      <c r="A339">
        <v>10474642</v>
      </c>
      <c r="B339">
        <v>3.0698869527222401</v>
      </c>
      <c r="C339">
        <v>1.38757693477941</v>
      </c>
      <c r="E339" t="str">
        <f>"10474642"</f>
        <v>10474642</v>
      </c>
      <c r="F339" t="str">
        <f t="shared" si="21"/>
        <v>Affy 1.0 ST</v>
      </c>
      <c r="G339" t="str">
        <f>"MGI:3026886"</f>
        <v>MGI:3026886</v>
      </c>
      <c r="H339" t="str">
        <f>"BC052040"</f>
        <v>BC052040</v>
      </c>
      <c r="I339" t="str">
        <f>"cDNA sequence BC052040"</f>
        <v>cDNA sequence BC052040</v>
      </c>
      <c r="J339" t="str">
        <f>"protein coding gene"</f>
        <v>protein coding gene</v>
      </c>
    </row>
    <row r="340" spans="1:10">
      <c r="A340">
        <v>10459576</v>
      </c>
      <c r="B340">
        <v>3.0670506638504098</v>
      </c>
      <c r="C340">
        <v>0.35529525937739997</v>
      </c>
      <c r="E340" t="str">
        <f>"10459576"</f>
        <v>10459576</v>
      </c>
      <c r="F340" t="str">
        <f t="shared" si="21"/>
        <v>Affy 1.0 ST</v>
      </c>
      <c r="G340" t="str">
        <f>"MGI:1923401"</f>
        <v>MGI:1923401</v>
      </c>
      <c r="H340" t="str">
        <f>"Cep76"</f>
        <v>Cep76</v>
      </c>
      <c r="I340" t="str">
        <f>"centrosomal protein 76"</f>
        <v>centrosomal protein 76</v>
      </c>
      <c r="J340" t="str">
        <f>"protein coding gene"</f>
        <v>protein coding gene</v>
      </c>
    </row>
    <row r="341" spans="1:10">
      <c r="A341">
        <v>10340051</v>
      </c>
      <c r="B341">
        <v>3.0657716326466198</v>
      </c>
      <c r="C341">
        <v>0.51701188857617197</v>
      </c>
      <c r="E341" t="str">
        <f>"10340051"</f>
        <v>10340051</v>
      </c>
      <c r="F341" t="str">
        <f>""</f>
        <v/>
      </c>
      <c r="G341" t="str">
        <f>"No associated gene"</f>
        <v>No associated gene</v>
      </c>
    </row>
    <row r="342" spans="1:10">
      <c r="A342">
        <v>10410576</v>
      </c>
      <c r="B342">
        <v>3.0584714695598398</v>
      </c>
      <c r="C342">
        <v>0.77205903300859802</v>
      </c>
      <c r="E342" t="str">
        <f>"10410576"</f>
        <v>10410576</v>
      </c>
      <c r="F342" t="str">
        <f t="shared" ref="F342:F368" si="24">"Affy 1.0 ST"</f>
        <v>Affy 1.0 ST</v>
      </c>
      <c r="G342" t="str">
        <f>"MGI:1921720"</f>
        <v>MGI:1921720</v>
      </c>
      <c r="H342" t="str">
        <f>"Cep72"</f>
        <v>Cep72</v>
      </c>
      <c r="I342" t="str">
        <f>"centrosomal protein 72"</f>
        <v>centrosomal protein 72</v>
      </c>
      <c r="J342" t="str">
        <f>"protein coding gene"</f>
        <v>protein coding gene</v>
      </c>
    </row>
    <row r="343" spans="1:10">
      <c r="A343">
        <v>10539640</v>
      </c>
      <c r="B343">
        <v>3.05798315710111</v>
      </c>
      <c r="C343">
        <v>0.59159452349605202</v>
      </c>
      <c r="E343" t="str">
        <f>"10539640"</f>
        <v>10539640</v>
      </c>
      <c r="F343" t="str">
        <f t="shared" si="24"/>
        <v>Affy 1.0 ST</v>
      </c>
      <c r="G343" t="str">
        <f>"MGI:1934606"</f>
        <v>MGI:1934606</v>
      </c>
      <c r="H343" t="str">
        <f>"Alms1"</f>
        <v>Alms1</v>
      </c>
      <c r="I343" t="str">
        <f>"Alstrom syndrome 1 homolog (human)"</f>
        <v>Alstrom syndrome 1 homolog (human)</v>
      </c>
      <c r="J343" t="str">
        <f>"protein coding gene"</f>
        <v>protein coding gene</v>
      </c>
    </row>
    <row r="344" spans="1:10">
      <c r="A344">
        <v>10547088</v>
      </c>
      <c r="B344">
        <v>3.0562804418549701</v>
      </c>
      <c r="C344">
        <v>1.02470488609979</v>
      </c>
      <c r="E344" t="str">
        <f>"10547088"</f>
        <v>10547088</v>
      </c>
      <c r="F344" t="str">
        <f t="shared" si="24"/>
        <v>Affy 1.0 ST</v>
      </c>
      <c r="G344" t="str">
        <f>"MGI:1333850"</f>
        <v>MGI:1333850</v>
      </c>
      <c r="H344" t="str">
        <f>"Mbd4"</f>
        <v>Mbd4</v>
      </c>
      <c r="I344" t="str">
        <f>"methyl-CpG binding domain protein 4"</f>
        <v>methyl-CpG binding domain protein 4</v>
      </c>
      <c r="J344" t="str">
        <f>"protein coding gene"</f>
        <v>protein coding gene</v>
      </c>
    </row>
    <row r="345" spans="1:10">
      <c r="A345">
        <v>10353733</v>
      </c>
      <c r="B345">
        <v>3.0558093371308299</v>
      </c>
      <c r="C345">
        <v>1.07281495711615</v>
      </c>
      <c r="E345" t="str">
        <f>"10353733"</f>
        <v>10353733</v>
      </c>
      <c r="F345" t="str">
        <f t="shared" si="24"/>
        <v>Affy 1.0 ST</v>
      </c>
      <c r="G345" t="str">
        <f>"MGI:97758"</f>
        <v>MGI:97758</v>
      </c>
      <c r="H345" t="str">
        <f>"Prim2"</f>
        <v>Prim2</v>
      </c>
      <c r="I345" t="s">
        <v>1972</v>
      </c>
      <c r="J345" t="s">
        <v>2010</v>
      </c>
    </row>
    <row r="346" spans="1:10">
      <c r="A346">
        <v>10396030</v>
      </c>
      <c r="B346">
        <v>3.0493919009153898</v>
      </c>
      <c r="C346">
        <v>0.99469799501550904</v>
      </c>
      <c r="E346" t="str">
        <f>"10396030"</f>
        <v>10396030</v>
      </c>
      <c r="F346" t="str">
        <f t="shared" si="24"/>
        <v>Affy 1.0 ST</v>
      </c>
      <c r="G346" t="str">
        <f>"MGI:2442306"</f>
        <v>MGI:2442306</v>
      </c>
      <c r="H346" t="str">
        <f>"Fancm"</f>
        <v>Fancm</v>
      </c>
      <c r="I346" t="s">
        <v>2155</v>
      </c>
      <c r="J346" t="s">
        <v>2010</v>
      </c>
    </row>
    <row r="347" spans="1:10">
      <c r="A347">
        <v>10595205</v>
      </c>
      <c r="B347">
        <v>3.0362362899425102</v>
      </c>
      <c r="C347">
        <v>1.41639508113966</v>
      </c>
      <c r="E347" t="str">
        <f>"10595205"</f>
        <v>10595205</v>
      </c>
      <c r="F347" t="str">
        <f t="shared" si="24"/>
        <v>Affy 1.0 ST</v>
      </c>
      <c r="G347" t="str">
        <f>"MGI:1914633"</f>
        <v>MGI:1914633</v>
      </c>
      <c r="H347" t="str">
        <f>"2410127L17Rik"</f>
        <v>2410127L17Rik</v>
      </c>
      <c r="I347" t="str">
        <f>"RIKEN cDNA 2410127L17 gene"</f>
        <v>RIKEN cDNA 2410127L17 gene</v>
      </c>
      <c r="J347" t="str">
        <f>"protein coding gene"</f>
        <v>protein coding gene</v>
      </c>
    </row>
    <row r="348" spans="1:10">
      <c r="A348">
        <v>10444595</v>
      </c>
      <c r="B348">
        <v>3.0220129193964098</v>
      </c>
      <c r="C348">
        <v>1.2150241768768</v>
      </c>
      <c r="E348" t="str">
        <f>"10444595"</f>
        <v>10444595</v>
      </c>
      <c r="F348" t="str">
        <f t="shared" si="24"/>
        <v>Affy 1.0 ST</v>
      </c>
      <c r="G348" t="str">
        <f>"MGI:90676"</f>
        <v>MGI:90676</v>
      </c>
      <c r="H348" t="str">
        <f>"Lsm2"</f>
        <v>Lsm2</v>
      </c>
      <c r="I348" t="s">
        <v>1945</v>
      </c>
      <c r="J348" t="s">
        <v>2010</v>
      </c>
    </row>
    <row r="349" spans="1:10">
      <c r="A349">
        <v>10499366</v>
      </c>
      <c r="B349">
        <v>3.0098278978478201</v>
      </c>
      <c r="C349">
        <v>1.41805911005442</v>
      </c>
      <c r="E349" t="str">
        <f>"10499366"</f>
        <v>10499366</v>
      </c>
      <c r="F349" t="str">
        <f t="shared" si="24"/>
        <v>Affy 1.0 ST</v>
      </c>
      <c r="G349" t="str">
        <f>"MGI:1914287"</f>
        <v>MGI:1914287</v>
      </c>
      <c r="H349" t="str">
        <f>"Pmf1"</f>
        <v>Pmf1</v>
      </c>
      <c r="I349" t="str">
        <f>"polyamine-modulated factor 1"</f>
        <v>polyamine-modulated factor 1</v>
      </c>
      <c r="J349" t="str">
        <f t="shared" ref="J349:J354" si="25">"protein coding gene"</f>
        <v>protein coding gene</v>
      </c>
    </row>
    <row r="350" spans="1:10">
      <c r="A350">
        <v>10420988</v>
      </c>
      <c r="B350">
        <v>3.00864322343726</v>
      </c>
      <c r="C350">
        <v>0.79777674159785705</v>
      </c>
      <c r="E350" t="str">
        <f>"10420988"</f>
        <v>10420988</v>
      </c>
      <c r="F350" t="str">
        <f t="shared" si="24"/>
        <v>Affy 1.0 ST</v>
      </c>
      <c r="G350" t="str">
        <f>"MGI:1349763"</f>
        <v>MGI:1349763</v>
      </c>
      <c r="H350" t="str">
        <f>"Dpysl2"</f>
        <v>Dpysl2</v>
      </c>
      <c r="I350" t="str">
        <f>"dihydropyrimidinase-like 2"</f>
        <v>dihydropyrimidinase-like 2</v>
      </c>
      <c r="J350" t="str">
        <f t="shared" si="25"/>
        <v>protein coding gene</v>
      </c>
    </row>
    <row r="351" spans="1:10">
      <c r="A351">
        <v>10459755</v>
      </c>
      <c r="B351">
        <v>3.0002221703109901</v>
      </c>
      <c r="C351">
        <v>0.64056011222741305</v>
      </c>
      <c r="E351" t="str">
        <f>"10459755"</f>
        <v>10459755</v>
      </c>
      <c r="F351" t="str">
        <f t="shared" si="24"/>
        <v>Affy 1.0 ST</v>
      </c>
      <c r="G351" t="str">
        <f>"MGI:1913718"</f>
        <v>MGI:1913718</v>
      </c>
      <c r="H351" t="str">
        <f>"Ska1"</f>
        <v>Ska1</v>
      </c>
      <c r="I351" t="str">
        <f>"spindle and kinetochore associated complex subunit 1"</f>
        <v>spindle and kinetochore associated complex subunit 1</v>
      </c>
      <c r="J351" t="str">
        <f t="shared" si="25"/>
        <v>protein coding gene</v>
      </c>
    </row>
    <row r="352" spans="1:10">
      <c r="A352">
        <v>10600017</v>
      </c>
      <c r="B352">
        <v>2.9998339845113402</v>
      </c>
      <c r="C352">
        <v>0.834028895622555</v>
      </c>
      <c r="E352" t="str">
        <f>"10600017"</f>
        <v>10600017</v>
      </c>
      <c r="F352" t="str">
        <f t="shared" si="24"/>
        <v>Affy 1.0 ST</v>
      </c>
      <c r="G352" t="str">
        <f>"MGI:1098219"</f>
        <v>MGI:1098219</v>
      </c>
      <c r="H352" t="str">
        <f>"Hmgb3"</f>
        <v>Hmgb3</v>
      </c>
      <c r="I352" t="str">
        <f>"high mobility group box 3"</f>
        <v>high mobility group box 3</v>
      </c>
      <c r="J352" t="str">
        <f t="shared" si="25"/>
        <v>protein coding gene</v>
      </c>
    </row>
    <row r="353" spans="1:10">
      <c r="A353">
        <v>10574378</v>
      </c>
      <c r="B353">
        <v>2.99826072531223</v>
      </c>
      <c r="C353">
        <v>1.13776117413222</v>
      </c>
      <c r="E353" t="str">
        <f>"10574378"</f>
        <v>10574378</v>
      </c>
      <c r="F353" t="str">
        <f t="shared" si="24"/>
        <v>Affy 1.0 ST</v>
      </c>
      <c r="G353" t="str">
        <f>"MGI:1926083"</f>
        <v>MGI:1926083</v>
      </c>
      <c r="H353" t="str">
        <f>"Gins3"</f>
        <v>Gins3</v>
      </c>
      <c r="I353" t="str">
        <f>"GINS complex subunit 3 (Psf3 homolog)"</f>
        <v>GINS complex subunit 3 (Psf3 homolog)</v>
      </c>
      <c r="J353" t="str">
        <f t="shared" si="25"/>
        <v>protein coding gene</v>
      </c>
    </row>
    <row r="354" spans="1:10">
      <c r="A354">
        <v>10493086</v>
      </c>
      <c r="B354">
        <v>2.9936079812428602</v>
      </c>
      <c r="C354">
        <v>1.1090677371484201</v>
      </c>
      <c r="E354" t="str">
        <f>"10493086"</f>
        <v>10493086</v>
      </c>
      <c r="F354" t="str">
        <f t="shared" si="24"/>
        <v>Affy 1.0 ST</v>
      </c>
      <c r="G354" t="str">
        <f>"MGI:1194494"</f>
        <v>MGI:1194494</v>
      </c>
      <c r="H354" t="str">
        <f>"Hdgf"</f>
        <v>Hdgf</v>
      </c>
      <c r="I354" t="str">
        <f>"hepatoma-derived growth factor"</f>
        <v>hepatoma-derived growth factor</v>
      </c>
      <c r="J354" t="str">
        <f t="shared" si="25"/>
        <v>protein coding gene</v>
      </c>
    </row>
    <row r="355" spans="1:10">
      <c r="A355">
        <v>10410919</v>
      </c>
      <c r="B355">
        <v>2.9899008103567901</v>
      </c>
      <c r="C355">
        <v>0.35176148062856999</v>
      </c>
      <c r="E355" t="str">
        <f>"10410919"</f>
        <v>10410919</v>
      </c>
      <c r="F355" t="str">
        <f t="shared" si="24"/>
        <v>Affy 1.0 ST</v>
      </c>
      <c r="G355" t="str">
        <f>"MGI:3648664"</f>
        <v>MGI:3648664</v>
      </c>
      <c r="H355" t="str">
        <f>"Gm5666"</f>
        <v>Gm5666</v>
      </c>
      <c r="I355" t="str">
        <f>"predicted gene 5666"</f>
        <v>predicted gene 5666</v>
      </c>
      <c r="J355" t="str">
        <f>"pseudogene"</f>
        <v>pseudogene</v>
      </c>
    </row>
    <row r="356" spans="1:10">
      <c r="A356">
        <v>10482177</v>
      </c>
      <c r="B356">
        <v>2.9880398497927598</v>
      </c>
      <c r="C356">
        <v>1.48194636321726</v>
      </c>
      <c r="E356" t="str">
        <f>"10482177"</f>
        <v>10482177</v>
      </c>
      <c r="F356" t="str">
        <f t="shared" si="24"/>
        <v>Affy 1.0 ST</v>
      </c>
      <c r="G356" t="str">
        <f>"MGI:104626"</f>
        <v>MGI:104626</v>
      </c>
      <c r="H356" t="str">
        <f>"Strbp"</f>
        <v>Strbp</v>
      </c>
      <c r="I356" t="str">
        <f>"spermatid perinuclear RNA binding protein"</f>
        <v>spermatid perinuclear RNA binding protein</v>
      </c>
      <c r="J356" t="str">
        <f>"protein coding gene"</f>
        <v>protein coding gene</v>
      </c>
    </row>
    <row r="357" spans="1:10">
      <c r="A357">
        <v>10534974</v>
      </c>
      <c r="B357">
        <v>2.9804271439200298</v>
      </c>
      <c r="C357">
        <v>1.4443077342995301</v>
      </c>
      <c r="E357" t="str">
        <f>"10534974"</f>
        <v>10534974</v>
      </c>
      <c r="F357" t="str">
        <f t="shared" si="24"/>
        <v>Affy 1.0 ST</v>
      </c>
      <c r="G357" t="str">
        <f>"MGI:1298398"</f>
        <v>MGI:1298398</v>
      </c>
      <c r="H357" t="str">
        <f>"Mcm7"</f>
        <v>Mcm7</v>
      </c>
      <c r="I357" t="str">
        <f>"minichromosome maintenance deficient 7 (S. cerevisiae)"</f>
        <v>minichromosome maintenance deficient 7 (S. cerevisiae)</v>
      </c>
      <c r="J357" t="str">
        <f>"protein coding gene"</f>
        <v>protein coding gene</v>
      </c>
    </row>
    <row r="358" spans="1:10">
      <c r="A358">
        <v>10558248</v>
      </c>
      <c r="B358">
        <v>2.96339426004893</v>
      </c>
      <c r="C358">
        <v>0.75727621150943802</v>
      </c>
      <c r="E358" t="str">
        <f>"10558248"</f>
        <v>10558248</v>
      </c>
      <c r="F358" t="str">
        <f t="shared" si="24"/>
        <v>Affy 1.0 ST</v>
      </c>
      <c r="G358" t="str">
        <f>"MGI:1343463"</f>
        <v>MGI:1343463</v>
      </c>
      <c r="H358" t="str">
        <f>"Bub3"</f>
        <v>Bub3</v>
      </c>
      <c r="I358" t="str">
        <f>"budding uninhibited by benzimidazoles 3 homolog (S. cerevisiae)"</f>
        <v>budding uninhibited by benzimidazoles 3 homolog (S. cerevisiae)</v>
      </c>
      <c r="J358" t="str">
        <f>"protein coding gene"</f>
        <v>protein coding gene</v>
      </c>
    </row>
    <row r="359" spans="1:10">
      <c r="A359">
        <v>10497971</v>
      </c>
      <c r="B359">
        <v>2.9475990650514801</v>
      </c>
      <c r="C359">
        <v>0.979792694246298</v>
      </c>
      <c r="E359" t="str">
        <f>"10497971"</f>
        <v>10497971</v>
      </c>
      <c r="F359" t="str">
        <f t="shared" si="24"/>
        <v>Affy 1.0 ST</v>
      </c>
      <c r="G359" t="str">
        <f>"MGI:1914411"</f>
        <v>MGI:1914411</v>
      </c>
      <c r="H359" t="str">
        <f>"Sclt1"</f>
        <v>Sclt1</v>
      </c>
      <c r="I359" t="str">
        <f>"sodium channel and clathrin linker 1"</f>
        <v>sodium channel and clathrin linker 1</v>
      </c>
      <c r="J359" t="str">
        <f>"protein coding gene"</f>
        <v>protein coding gene</v>
      </c>
    </row>
    <row r="360" spans="1:10">
      <c r="A360">
        <v>10408113</v>
      </c>
      <c r="B360">
        <v>2.9464666378193098</v>
      </c>
      <c r="C360">
        <v>1.1945702439529799</v>
      </c>
      <c r="E360" t="str">
        <f>"10408113"</f>
        <v>10408113</v>
      </c>
      <c r="F360" t="str">
        <f t="shared" si="24"/>
        <v>Affy 1.0 ST</v>
      </c>
      <c r="G360" t="str">
        <f>"MGI:2448432"</f>
        <v>MGI:2448432</v>
      </c>
      <c r="H360" t="str">
        <f>"Hist1h4i"</f>
        <v>Hist1h4i</v>
      </c>
      <c r="I360" t="s">
        <v>1946</v>
      </c>
      <c r="J360" t="s">
        <v>2010</v>
      </c>
    </row>
    <row r="361" spans="1:10">
      <c r="A361">
        <v>10516894</v>
      </c>
      <c r="B361">
        <v>2.9292937473174199</v>
      </c>
      <c r="C361">
        <v>1.12279656928242</v>
      </c>
      <c r="E361" t="str">
        <f>"10516894"</f>
        <v>10516894</v>
      </c>
      <c r="F361" t="str">
        <f t="shared" si="24"/>
        <v>Affy 1.0 ST</v>
      </c>
      <c r="G361" t="str">
        <f>"MGI:1913989"</f>
        <v>MGI:1913989</v>
      </c>
      <c r="H361" t="str">
        <f>"Rcc1"</f>
        <v>Rcc1</v>
      </c>
      <c r="I361" t="str">
        <f>"regulator of chromosome condensation 1"</f>
        <v>regulator of chromosome condensation 1</v>
      </c>
      <c r="J361" t="str">
        <f>"protein coding gene"</f>
        <v>protein coding gene</v>
      </c>
    </row>
    <row r="362" spans="1:10">
      <c r="A362">
        <v>10443047</v>
      </c>
      <c r="B362">
        <v>2.9265119739734198</v>
      </c>
      <c r="C362">
        <v>0.88074075875122104</v>
      </c>
      <c r="E362" t="str">
        <f>"10443047"</f>
        <v>10443047</v>
      </c>
      <c r="F362" t="str">
        <f t="shared" si="24"/>
        <v>Affy 1.0 ST</v>
      </c>
      <c r="G362" t="str">
        <f>"MGI:109596"</f>
        <v>MGI:109596</v>
      </c>
      <c r="H362" t="str">
        <f>"Kifc1"</f>
        <v>Kifc1</v>
      </c>
      <c r="I362" t="str">
        <f>"kinesin family member C1"</f>
        <v>kinesin family member C1</v>
      </c>
      <c r="J362" t="str">
        <f>"protein coding gene"</f>
        <v>protein coding gene</v>
      </c>
    </row>
    <row r="363" spans="1:10">
      <c r="A363">
        <v>10506118</v>
      </c>
      <c r="B363">
        <v>2.9259341856215801</v>
      </c>
      <c r="C363">
        <v>1.2737138624678801</v>
      </c>
      <c r="E363" t="str">
        <f>"10506118"</f>
        <v>10506118</v>
      </c>
      <c r="F363" t="str">
        <f t="shared" si="24"/>
        <v>Affy 1.0 ST</v>
      </c>
      <c r="G363" t="str">
        <f>"MGI:2385198"</f>
        <v>MGI:2385198</v>
      </c>
      <c r="H363" t="str">
        <f>"Usp1"</f>
        <v>Usp1</v>
      </c>
      <c r="I363" t="str">
        <f>"ubiquitin specific peptidase 1"</f>
        <v>ubiquitin specific peptidase 1</v>
      </c>
      <c r="J363" t="str">
        <f>"protein coding gene"</f>
        <v>protein coding gene</v>
      </c>
    </row>
    <row r="364" spans="1:10">
      <c r="A364">
        <v>10434067</v>
      </c>
      <c r="B364">
        <v>2.9194890990361699</v>
      </c>
      <c r="C364">
        <v>0.61093700549955199</v>
      </c>
      <c r="E364" t="str">
        <f>"10434067"</f>
        <v>10434067</v>
      </c>
      <c r="F364" t="str">
        <f t="shared" si="24"/>
        <v>Affy 1.0 ST</v>
      </c>
      <c r="G364" t="str">
        <f>"MGI:1924876"</f>
        <v>MGI:1924876</v>
      </c>
      <c r="H364" t="str">
        <f>"Smpd4"</f>
        <v>Smpd4</v>
      </c>
      <c r="I364" t="str">
        <f>"sphingomyelin phosphodiesterase 4"</f>
        <v>sphingomyelin phosphodiesterase 4</v>
      </c>
      <c r="J364" t="str">
        <f>"protein coding gene"</f>
        <v>protein coding gene</v>
      </c>
    </row>
    <row r="365" spans="1:10">
      <c r="A365">
        <v>10607116</v>
      </c>
      <c r="B365">
        <v>2.9017570504801302</v>
      </c>
      <c r="C365">
        <v>0.84631689620867201</v>
      </c>
      <c r="E365" t="str">
        <f>"10607116"</f>
        <v>10607116</v>
      </c>
      <c r="F365" t="str">
        <f t="shared" si="24"/>
        <v>Affy 1.0 ST</v>
      </c>
      <c r="G365" t="str">
        <f>"MGI:1860206"</f>
        <v>MGI:1860206</v>
      </c>
      <c r="H365" t="str">
        <f>"Ammecr1"</f>
        <v>Ammecr1</v>
      </c>
      <c r="I365" t="s">
        <v>1947</v>
      </c>
      <c r="J365" t="s">
        <v>2010</v>
      </c>
    </row>
    <row r="366" spans="1:10">
      <c r="A366">
        <v>10433721</v>
      </c>
      <c r="B366">
        <v>2.8995817418184102</v>
      </c>
      <c r="C366">
        <v>0.80395792505002805</v>
      </c>
      <c r="E366" t="str">
        <f>"10433721"</f>
        <v>10433721</v>
      </c>
      <c r="F366" t="str">
        <f t="shared" si="24"/>
        <v>Affy 1.0 ST</v>
      </c>
      <c r="G366" t="str">
        <f>"MGI:1914453"</f>
        <v>MGI:1914453</v>
      </c>
      <c r="H366" t="str">
        <f>"Nde1"</f>
        <v>Nde1</v>
      </c>
      <c r="I366" t="str">
        <f>"nuclear distribution gene E homolog 1 (A nidulans)"</f>
        <v>nuclear distribution gene E homolog 1 (A nidulans)</v>
      </c>
      <c r="J366" t="str">
        <f>"protein coding gene"</f>
        <v>protein coding gene</v>
      </c>
    </row>
    <row r="367" spans="1:10">
      <c r="A367">
        <v>10538617</v>
      </c>
      <c r="B367">
        <v>2.8959597027564801</v>
      </c>
      <c r="C367">
        <v>1.0970830634642199</v>
      </c>
      <c r="E367" t="str">
        <f>"10538617"</f>
        <v>10538617</v>
      </c>
      <c r="F367" t="str">
        <f t="shared" si="24"/>
        <v>Affy 1.0 ST</v>
      </c>
      <c r="G367" t="str">
        <f>"MGI:1919085"</f>
        <v>MGI:1919085</v>
      </c>
      <c r="H367" t="str">
        <f>"Lancl2"</f>
        <v>Lancl2</v>
      </c>
      <c r="I367" t="str">
        <f>"LanC (bacterial lantibiotic synthetase component C)-like 2"</f>
        <v>LanC (bacterial lantibiotic synthetase component C)-like 2</v>
      </c>
      <c r="J367" t="str">
        <f>"protein coding gene"</f>
        <v>protein coding gene</v>
      </c>
    </row>
    <row r="368" spans="1:10">
      <c r="A368">
        <v>10410435</v>
      </c>
      <c r="B368">
        <v>2.8952995930523899</v>
      </c>
      <c r="C368">
        <v>1.1666613748913599</v>
      </c>
      <c r="E368" t="str">
        <f>"10410435"</f>
        <v>10410435</v>
      </c>
      <c r="F368" t="str">
        <f t="shared" si="24"/>
        <v>Affy 1.0 ST</v>
      </c>
      <c r="G368" t="str">
        <f>"MGI:2682295"</f>
        <v>MGI:2682295</v>
      </c>
      <c r="H368" t="str">
        <f>"Papd7"</f>
        <v>Papd7</v>
      </c>
      <c r="I368" t="str">
        <f>"PAP associated domain containing 7"</f>
        <v>PAP associated domain containing 7</v>
      </c>
      <c r="J368" t="str">
        <f>"protein coding gene"</f>
        <v>protein coding gene</v>
      </c>
    </row>
    <row r="369" spans="1:10">
      <c r="A369">
        <v>10339940</v>
      </c>
      <c r="B369">
        <v>2.89518763099748</v>
      </c>
      <c r="C369">
        <v>0.22856324397892899</v>
      </c>
      <c r="E369" t="str">
        <f>"10339940"</f>
        <v>10339940</v>
      </c>
      <c r="F369" t="str">
        <f>""</f>
        <v/>
      </c>
      <c r="G369" t="str">
        <f>"No associated gene"</f>
        <v>No associated gene</v>
      </c>
    </row>
    <row r="370" spans="1:10">
      <c r="A370">
        <v>10439762</v>
      </c>
      <c r="B370">
        <v>2.8948861658696599</v>
      </c>
      <c r="C370">
        <v>0.95666213333922101</v>
      </c>
      <c r="E370" t="str">
        <f>"10439762"</f>
        <v>10439762</v>
      </c>
      <c r="F370" t="str">
        <f>"Affy 1.0 ST"</f>
        <v>Affy 1.0 ST</v>
      </c>
      <c r="G370" t="str">
        <f>"MGI:87968"</f>
        <v>MGI:87968</v>
      </c>
      <c r="H370" t="str">
        <f>"Ahcy"</f>
        <v>Ahcy</v>
      </c>
      <c r="I370" t="str">
        <f>"S-adenosylhomocysteine hydrolase"</f>
        <v>S-adenosylhomocysteine hydrolase</v>
      </c>
      <c r="J370" t="str">
        <f>"protein coding gene"</f>
        <v>protein coding gene</v>
      </c>
    </row>
    <row r="371" spans="1:10">
      <c r="A371">
        <v>10561868</v>
      </c>
      <c r="B371">
        <v>2.8944218967841802</v>
      </c>
      <c r="C371">
        <v>0.86442860394527898</v>
      </c>
      <c r="E371" t="str">
        <f>"10561868"</f>
        <v>10561868</v>
      </c>
      <c r="F371" t="str">
        <f>"Affy 1.0 ST"</f>
        <v>Affy 1.0 ST</v>
      </c>
      <c r="G371" t="str">
        <f>"MGI:1923696"</f>
        <v>MGI:1923696</v>
      </c>
      <c r="H371" t="str">
        <f>"Wdr62"</f>
        <v>Wdr62</v>
      </c>
      <c r="I371" t="str">
        <f>"WD repeat domain 62"</f>
        <v>WD repeat domain 62</v>
      </c>
      <c r="J371" t="str">
        <f>"protein coding gene"</f>
        <v>protein coding gene</v>
      </c>
    </row>
    <row r="372" spans="1:10">
      <c r="A372">
        <v>10367744</v>
      </c>
      <c r="B372">
        <v>2.8931219944908899</v>
      </c>
      <c r="C372">
        <v>0.25875618105110998</v>
      </c>
      <c r="E372" t="str">
        <f>"10367744"</f>
        <v>10367744</v>
      </c>
      <c r="F372" t="str">
        <f>""</f>
        <v/>
      </c>
      <c r="G372" t="str">
        <f>"No associated gene"</f>
        <v>No associated gene</v>
      </c>
    </row>
    <row r="373" spans="1:10">
      <c r="A373">
        <v>10562084</v>
      </c>
      <c r="B373">
        <v>2.8681636048664201</v>
      </c>
      <c r="C373">
        <v>1.47162707713575</v>
      </c>
      <c r="E373" t="str">
        <f>"10562084"</f>
        <v>10562084</v>
      </c>
      <c r="F373" t="str">
        <f t="shared" ref="F373:F378" si="26">"Affy 1.0 ST"</f>
        <v>Affy 1.0 ST</v>
      </c>
      <c r="G373" t="str">
        <f>"MGI:1919159"</f>
        <v>MGI:1919159</v>
      </c>
      <c r="H373" t="str">
        <f>"Haus5"</f>
        <v>Haus5</v>
      </c>
      <c r="I373" t="s">
        <v>1948</v>
      </c>
      <c r="J373" t="s">
        <v>2010</v>
      </c>
    </row>
    <row r="374" spans="1:10">
      <c r="A374">
        <v>10384145</v>
      </c>
      <c r="B374">
        <v>2.8680430804923001</v>
      </c>
      <c r="C374">
        <v>0.95045846432165904</v>
      </c>
      <c r="E374" t="str">
        <f>"10384145"</f>
        <v>10384145</v>
      </c>
      <c r="F374" t="str">
        <f t="shared" si="26"/>
        <v>Affy 1.0 ST</v>
      </c>
      <c r="G374" t="str">
        <f>"MGI:1924855"</f>
        <v>MGI:1924855</v>
      </c>
      <c r="H374" t="str">
        <f>"H2afv"</f>
        <v>H2afv</v>
      </c>
      <c r="I374" t="s">
        <v>1949</v>
      </c>
      <c r="J374" t="s">
        <v>2010</v>
      </c>
    </row>
    <row r="375" spans="1:10">
      <c r="A375">
        <v>10427606</v>
      </c>
      <c r="B375">
        <v>2.8656710026147501</v>
      </c>
      <c r="C375">
        <v>1.0762205770172399</v>
      </c>
      <c r="E375" t="str">
        <f>"10427606"</f>
        <v>10427606</v>
      </c>
      <c r="F375" t="str">
        <f t="shared" si="26"/>
        <v>Affy 1.0 ST</v>
      </c>
      <c r="G375" t="str">
        <f>"MGI:1351663"</f>
        <v>MGI:1351663</v>
      </c>
      <c r="H375" t="str">
        <f>"Skp2"</f>
        <v>Skp2</v>
      </c>
      <c r="I375" t="str">
        <f>"S-phase kinase-associated protein 2 (p45)"</f>
        <v>S-phase kinase-associated protein 2 (p45)</v>
      </c>
      <c r="J375" t="str">
        <f>"protein coding gene"</f>
        <v>protein coding gene</v>
      </c>
    </row>
    <row r="376" spans="1:10">
      <c r="A376">
        <v>10601598</v>
      </c>
      <c r="B376">
        <v>2.85911067467346</v>
      </c>
      <c r="C376">
        <v>1.2556620088978501</v>
      </c>
      <c r="E376" t="str">
        <f>"10601598"</f>
        <v>10601598</v>
      </c>
      <c r="F376" t="str">
        <f t="shared" si="26"/>
        <v>Affy 1.0 ST</v>
      </c>
      <c r="G376" t="str">
        <f>"MGI:1920311"</f>
        <v>MGI:1920311</v>
      </c>
      <c r="H376" t="str">
        <f>"3110007F17Rik"</f>
        <v>3110007F17Rik</v>
      </c>
      <c r="I376" t="str">
        <f>"RIKEN cDNA 3110007F17 gene"</f>
        <v>RIKEN cDNA 3110007F17 gene</v>
      </c>
      <c r="J376" t="str">
        <f>"protein coding gene"</f>
        <v>protein coding gene</v>
      </c>
    </row>
    <row r="377" spans="1:10">
      <c r="A377">
        <v>10385495</v>
      </c>
      <c r="B377">
        <v>2.85336503507162</v>
      </c>
      <c r="C377">
        <v>1.05639026770707</v>
      </c>
      <c r="E377" t="str">
        <f>"10385495"</f>
        <v>10385495</v>
      </c>
      <c r="F377" t="str">
        <f t="shared" si="26"/>
        <v>Affy 1.0 ST</v>
      </c>
      <c r="G377" t="str">
        <f>"MGI:1202069"</f>
        <v>MGI:1202069</v>
      </c>
      <c r="H377" t="str">
        <f>"Cdk2ap1"</f>
        <v>Cdk2ap1</v>
      </c>
      <c r="I377" t="str">
        <f>"CDK2 (cyclin-dependent kinase 2)-associated protein 1"</f>
        <v>CDK2 (cyclin-dependent kinase 2)-associated protein 1</v>
      </c>
      <c r="J377" t="str">
        <f>"protein coding gene"</f>
        <v>protein coding gene</v>
      </c>
    </row>
    <row r="378" spans="1:10">
      <c r="A378">
        <v>10583952</v>
      </c>
      <c r="B378">
        <v>2.8421360117754002</v>
      </c>
      <c r="C378">
        <v>0.77382857552880402</v>
      </c>
      <c r="E378" t="str">
        <f>"10583952"</f>
        <v>10583952</v>
      </c>
      <c r="F378" t="str">
        <f t="shared" si="26"/>
        <v>Affy 1.0 ST</v>
      </c>
      <c r="G378" t="str">
        <f>"MGI:2142989"</f>
        <v>MGI:2142989</v>
      </c>
      <c r="H378" t="str">
        <f>"Ncapd3"</f>
        <v>Ncapd3</v>
      </c>
      <c r="I378" t="s">
        <v>1950</v>
      </c>
      <c r="J378" t="s">
        <v>2010</v>
      </c>
    </row>
    <row r="379" spans="1:10">
      <c r="A379">
        <v>10543114</v>
      </c>
      <c r="B379">
        <v>2.8313794144334499</v>
      </c>
      <c r="C379">
        <v>0.60271955209322403</v>
      </c>
      <c r="E379" t="str">
        <f>"10543114"</f>
        <v>10543114</v>
      </c>
      <c r="F379" t="str">
        <f>""</f>
        <v/>
      </c>
      <c r="G379" t="str">
        <f>"No associated gene"</f>
        <v>No associated gene</v>
      </c>
    </row>
    <row r="380" spans="1:10">
      <c r="A380">
        <v>10365578</v>
      </c>
      <c r="B380">
        <v>2.82582825992665</v>
      </c>
      <c r="C380">
        <v>1.03226455466217</v>
      </c>
      <c r="E380" t="str">
        <f>"10365578"</f>
        <v>10365578</v>
      </c>
      <c r="F380" t="str">
        <f>"Affy 1.0 ST"</f>
        <v>Affy 1.0 ST</v>
      </c>
      <c r="G380" t="str">
        <f>"MGI:1919964"</f>
        <v>MGI:1919964</v>
      </c>
      <c r="H380" t="str">
        <f>"Nup37"</f>
        <v>Nup37</v>
      </c>
      <c r="I380" t="str">
        <f>"nucleoporin 37"</f>
        <v>nucleoporin 37</v>
      </c>
      <c r="J380" t="str">
        <f>"protein coding gene"</f>
        <v>protein coding gene</v>
      </c>
    </row>
    <row r="381" spans="1:10">
      <c r="A381">
        <v>10497105</v>
      </c>
      <c r="B381">
        <v>2.8223665854311202</v>
      </c>
      <c r="C381">
        <v>0.80363923350122302</v>
      </c>
      <c r="E381" t="str">
        <f>"10497105"</f>
        <v>10497105</v>
      </c>
      <c r="F381" t="str">
        <f>"Affy 1.0 ST"</f>
        <v>Affy 1.0 ST</v>
      </c>
      <c r="G381" t="str">
        <f>"MGI:1914394"</f>
        <v>MGI:1914394</v>
      </c>
      <c r="H381" t="str">
        <f>"Lrrc40"</f>
        <v>Lrrc40</v>
      </c>
      <c r="I381" t="str">
        <f>"leucine rich repeat containing 40"</f>
        <v>leucine rich repeat containing 40</v>
      </c>
      <c r="J381" t="str">
        <f>"protein coding gene"</f>
        <v>protein coding gene</v>
      </c>
    </row>
    <row r="382" spans="1:10">
      <c r="A382">
        <v>10571680</v>
      </c>
      <c r="B382">
        <v>2.8189117938558899</v>
      </c>
      <c r="C382">
        <v>1.28479882201963</v>
      </c>
      <c r="E382" t="str">
        <f>"10571680"</f>
        <v>10571680</v>
      </c>
      <c r="F382" t="str">
        <f>"Affy 1.0 ST"</f>
        <v>Affy 1.0 ST</v>
      </c>
      <c r="G382" t="str">
        <f>"MGI:1919126"</f>
        <v>MGI:1919126</v>
      </c>
      <c r="H382" t="str">
        <f>"Mlf1ip"</f>
        <v>Mlf1ip</v>
      </c>
      <c r="I382" t="str">
        <f>"myeloid leukemia factor 1 interacting protein"</f>
        <v>myeloid leukemia factor 1 interacting protein</v>
      </c>
      <c r="J382" t="str">
        <f>"protein coding gene"</f>
        <v>protein coding gene</v>
      </c>
    </row>
    <row r="383" spans="1:10">
      <c r="A383">
        <v>10523281</v>
      </c>
      <c r="B383">
        <v>2.81419806546671</v>
      </c>
      <c r="C383">
        <v>1.1987274398436101</v>
      </c>
      <c r="E383" t="str">
        <f>"10523281"</f>
        <v>10523281</v>
      </c>
      <c r="F383" t="str">
        <f>"Affy 1.0 ST"</f>
        <v>Affy 1.0 ST</v>
      </c>
      <c r="G383" t="str">
        <f>"MGI:1277214"</f>
        <v>MGI:1277214</v>
      </c>
      <c r="H383" t="str">
        <f>"Sept11"</f>
        <v>Sept11</v>
      </c>
      <c r="I383" t="str">
        <f>"septin 11"</f>
        <v>septin 11</v>
      </c>
      <c r="J383" t="str">
        <f>"protein coding gene"</f>
        <v>protein coding gene</v>
      </c>
    </row>
    <row r="384" spans="1:10">
      <c r="A384">
        <v>10421555</v>
      </c>
      <c r="B384">
        <v>2.8128976240145702</v>
      </c>
      <c r="C384">
        <v>0.376854898476633</v>
      </c>
      <c r="E384" t="str">
        <f>"10421555"</f>
        <v>10421555</v>
      </c>
      <c r="F384" t="str">
        <f>""</f>
        <v/>
      </c>
      <c r="G384" t="str">
        <f>"No associated gene"</f>
        <v>No associated gene</v>
      </c>
    </row>
    <row r="385" spans="1:10">
      <c r="A385">
        <v>10552740</v>
      </c>
      <c r="B385">
        <v>2.7977401081174298</v>
      </c>
      <c r="C385">
        <v>1.2005760137737</v>
      </c>
      <c r="E385" t="str">
        <f>"10552740"</f>
        <v>10552740</v>
      </c>
      <c r="F385" t="str">
        <f>"Affy 1.0 ST"</f>
        <v>Affy 1.0 ST</v>
      </c>
      <c r="G385" t="str">
        <f>"MGI:1351500"</f>
        <v>MGI:1351500</v>
      </c>
      <c r="H385" t="str">
        <f>"Nup62"</f>
        <v>Nup62</v>
      </c>
      <c r="I385" t="str">
        <f>"nucleoporin 62"</f>
        <v>nucleoporin 62</v>
      </c>
      <c r="J385" t="str">
        <f>"protein coding gene"</f>
        <v>protein coding gene</v>
      </c>
    </row>
    <row r="386" spans="1:10">
      <c r="A386">
        <v>10456490</v>
      </c>
      <c r="B386">
        <v>2.7832195578775099</v>
      </c>
      <c r="C386">
        <v>0.61461303799412903</v>
      </c>
      <c r="E386" t="str">
        <f>"10456490"</f>
        <v>10456490</v>
      </c>
      <c r="F386" t="str">
        <f>""</f>
        <v/>
      </c>
      <c r="G386" t="str">
        <f>"No associated gene"</f>
        <v>No associated gene</v>
      </c>
    </row>
    <row r="387" spans="1:10">
      <c r="A387">
        <v>10573217</v>
      </c>
      <c r="B387">
        <v>2.77651251741645</v>
      </c>
      <c r="C387">
        <v>0.33965382750859802</v>
      </c>
      <c r="E387" t="str">
        <f>"10573217"</f>
        <v>10573217</v>
      </c>
      <c r="F387" t="str">
        <f>"Affy 1.0 ST"</f>
        <v>Affy 1.0 ST</v>
      </c>
      <c r="G387" t="str">
        <f>"MGI:1915528"</f>
        <v>MGI:1915528</v>
      </c>
      <c r="H387" t="str">
        <f>"Ddx39"</f>
        <v>Ddx39</v>
      </c>
      <c r="I387" t="str">
        <f>"DEAD (Asp-Glu-Ala-Asp) box polypeptide 39"</f>
        <v>DEAD (Asp-Glu-Ala-Asp) box polypeptide 39</v>
      </c>
      <c r="J387" t="str">
        <f>"protein coding gene"</f>
        <v>protein coding gene</v>
      </c>
    </row>
    <row r="388" spans="1:10">
      <c r="A388">
        <v>10588482</v>
      </c>
      <c r="B388">
        <v>2.7754675639603201</v>
      </c>
      <c r="C388">
        <v>1.14046235170962</v>
      </c>
      <c r="E388" t="str">
        <f>"10588482"</f>
        <v>10588482</v>
      </c>
      <c r="F388" t="str">
        <f>"Affy 1.0 ST"</f>
        <v>Affy 1.0 ST</v>
      </c>
      <c r="G388" t="str">
        <f>"MGI:1917485"</f>
        <v>MGI:1917485</v>
      </c>
      <c r="H388" t="str">
        <f>"Poc1a"</f>
        <v>Poc1a</v>
      </c>
      <c r="I388" t="str">
        <f>"POC1 centriolar protein homolog A (Chlamydomonas)"</f>
        <v>POC1 centriolar protein homolog A (Chlamydomonas)</v>
      </c>
      <c r="J388" t="str">
        <f>"protein coding gene"</f>
        <v>protein coding gene</v>
      </c>
    </row>
    <row r="389" spans="1:10">
      <c r="A389">
        <v>10544501</v>
      </c>
      <c r="B389">
        <v>2.7741737370860702</v>
      </c>
      <c r="C389">
        <v>0.59523442161481999</v>
      </c>
      <c r="E389" t="str">
        <f>"10544501"</f>
        <v>10544501</v>
      </c>
      <c r="F389" t="str">
        <f>"Affy 1.0 ST"</f>
        <v>Affy 1.0 ST</v>
      </c>
      <c r="G389" t="str">
        <f>"MGI:107940"</f>
        <v>MGI:107940</v>
      </c>
      <c r="H389" t="str">
        <f>"Ezh2"</f>
        <v>Ezh2</v>
      </c>
      <c r="I389" t="str">
        <f>"enhancer of zeste homolog 2 (Drosophila)"</f>
        <v>enhancer of zeste homolog 2 (Drosophila)</v>
      </c>
      <c r="J389" t="str">
        <f>"protein coding gene"</f>
        <v>protein coding gene</v>
      </c>
    </row>
    <row r="390" spans="1:10">
      <c r="A390">
        <v>10343018</v>
      </c>
      <c r="B390">
        <v>2.7655495864742701</v>
      </c>
      <c r="C390">
        <v>0.75646931057130296</v>
      </c>
      <c r="E390" t="str">
        <f>"10343018"</f>
        <v>10343018</v>
      </c>
      <c r="F390" t="str">
        <f>""</f>
        <v/>
      </c>
      <c r="G390" t="str">
        <f>"No associated gene"</f>
        <v>No associated gene</v>
      </c>
    </row>
    <row r="391" spans="1:10">
      <c r="A391">
        <v>10491385</v>
      </c>
      <c r="B391">
        <v>2.7636627723273599</v>
      </c>
      <c r="C391">
        <v>0.80439450394600698</v>
      </c>
      <c r="E391" t="str">
        <f>"10491385"</f>
        <v>10491385</v>
      </c>
      <c r="F391" t="str">
        <f>"Affy 1.0 ST"</f>
        <v>Affy 1.0 ST</v>
      </c>
      <c r="G391" t="str">
        <f>"MGI:1861453"</f>
        <v>MGI:1861453</v>
      </c>
      <c r="H391" t="str">
        <f>"Actl6a"</f>
        <v>Actl6a</v>
      </c>
      <c r="I391" t="str">
        <f>"actin-like 6A"</f>
        <v>actin-like 6A</v>
      </c>
      <c r="J391" t="str">
        <f>"protein coding gene"</f>
        <v>protein coding gene</v>
      </c>
    </row>
    <row r="392" spans="1:10">
      <c r="A392">
        <v>10475610</v>
      </c>
      <c r="B392">
        <v>2.76176983545747</v>
      </c>
      <c r="C392">
        <v>1.1124960134889701</v>
      </c>
      <c r="E392" t="str">
        <f>"10475610"</f>
        <v>10475610</v>
      </c>
      <c r="F392" t="str">
        <f>"Affy 1.0 ST"</f>
        <v>Affy 1.0 ST</v>
      </c>
      <c r="G392" t="str">
        <f>"MGI:1346051"</f>
        <v>MGI:1346051</v>
      </c>
      <c r="H392" t="str">
        <f>"Dut"</f>
        <v>Dut</v>
      </c>
      <c r="I392" t="str">
        <f>"deoxyuridine triphosphatase"</f>
        <v>deoxyuridine triphosphatase</v>
      </c>
      <c r="J392" t="str">
        <f>"protein coding gene"</f>
        <v>protein coding gene</v>
      </c>
    </row>
    <row r="393" spans="1:10">
      <c r="A393">
        <v>10424188</v>
      </c>
      <c r="B393">
        <v>2.7564252346067399</v>
      </c>
      <c r="C393">
        <v>0.66366867183582101</v>
      </c>
      <c r="E393" t="str">
        <f>"10424188"</f>
        <v>10424188</v>
      </c>
      <c r="F393" t="str">
        <f>"Affy 1.0 ST"</f>
        <v>Affy 1.0 ST</v>
      </c>
      <c r="G393" t="str">
        <f>"MGI:2146005"</f>
        <v>MGI:2146005</v>
      </c>
      <c r="H393" t="str">
        <f>"Mtbp"</f>
        <v>Mtbp</v>
      </c>
      <c r="I393" t="s">
        <v>1974</v>
      </c>
      <c r="J393" t="s">
        <v>2010</v>
      </c>
    </row>
    <row r="394" spans="1:10">
      <c r="A394">
        <v>10470788</v>
      </c>
      <c r="B394">
        <v>2.75248026774582</v>
      </c>
      <c r="C394">
        <v>0.583244102421279</v>
      </c>
      <c r="E394" t="str">
        <f>"10470788"</f>
        <v>10470788</v>
      </c>
      <c r="F394" t="str">
        <f>"Affy 1.0 ST"</f>
        <v>Affy 1.0 ST</v>
      </c>
      <c r="G394" t="str">
        <f>"MGI:1098824"</f>
        <v>MGI:1098824</v>
      </c>
      <c r="H394" t="str">
        <f>"Odf2"</f>
        <v>Odf2</v>
      </c>
      <c r="I394" t="str">
        <f>"outer dense fiber of sperm tails 2"</f>
        <v>outer dense fiber of sperm tails 2</v>
      </c>
      <c r="J394" t="str">
        <f>"protein coding gene"</f>
        <v>protein coding gene</v>
      </c>
    </row>
    <row r="395" spans="1:10">
      <c r="A395">
        <v>10582501</v>
      </c>
      <c r="B395">
        <v>2.74187488310465</v>
      </c>
      <c r="C395">
        <v>1.12330639612812</v>
      </c>
      <c r="E395" t="str">
        <f>"10582501"</f>
        <v>10582501</v>
      </c>
      <c r="F395" t="str">
        <f>"Affy 1.0 ST"</f>
        <v>Affy 1.0 ST</v>
      </c>
      <c r="G395" t="str">
        <f>"MGI:1341823"</f>
        <v>MGI:1341823</v>
      </c>
      <c r="H395" t="str">
        <f>"Fanca"</f>
        <v>Fanca</v>
      </c>
      <c r="I395" t="s">
        <v>2061</v>
      </c>
      <c r="J395" t="s">
        <v>2010</v>
      </c>
    </row>
    <row r="396" spans="1:10">
      <c r="A396">
        <v>10340229</v>
      </c>
      <c r="B396">
        <v>2.7400107035130401</v>
      </c>
      <c r="C396">
        <v>0.35716352688310599</v>
      </c>
      <c r="E396" t="str">
        <f>"10340229"</f>
        <v>10340229</v>
      </c>
      <c r="F396" t="str">
        <f>""</f>
        <v/>
      </c>
      <c r="G396" t="str">
        <f>"No associated gene"</f>
        <v>No associated gene</v>
      </c>
    </row>
    <row r="397" spans="1:10">
      <c r="A397">
        <v>10459643</v>
      </c>
      <c r="B397">
        <v>2.7352387126244899</v>
      </c>
      <c r="C397">
        <v>0.66781244882456803</v>
      </c>
      <c r="E397" t="str">
        <f>"10459643"</f>
        <v>10459643</v>
      </c>
      <c r="F397" t="str">
        <f>"Affy 1.0 ST"</f>
        <v>Affy 1.0 ST</v>
      </c>
      <c r="G397" t="str">
        <f>"MGI:1922045"</f>
        <v>MGI:1922045</v>
      </c>
      <c r="H397" t="str">
        <f>"4930503L19Rik"</f>
        <v>4930503L19Rik</v>
      </c>
      <c r="I397" t="str">
        <f>"RIKEN cDNA 4930503L19 gene"</f>
        <v>RIKEN cDNA 4930503L19 gene</v>
      </c>
      <c r="J397" t="str">
        <f>"protein coding gene"</f>
        <v>protein coding gene</v>
      </c>
    </row>
    <row r="398" spans="1:10">
      <c r="A398">
        <v>10462670</v>
      </c>
      <c r="B398">
        <v>2.72412112415644</v>
      </c>
      <c r="C398">
        <v>0.70482455940138999</v>
      </c>
      <c r="E398" t="str">
        <f>"10462670"</f>
        <v>10462670</v>
      </c>
      <c r="F398" t="str">
        <f>"Affy 1.0 ST"</f>
        <v>Affy 1.0 ST</v>
      </c>
      <c r="G398" t="str">
        <f>"MGI:1859683"</f>
        <v>MGI:1859683</v>
      </c>
      <c r="H398" t="str">
        <f>"Rpp30"</f>
        <v>Rpp30</v>
      </c>
      <c r="I398" t="str">
        <f>"ribonuclease P/MRP 30 subunit (human)"</f>
        <v>ribonuclease P/MRP 30 subunit (human)</v>
      </c>
      <c r="J398" t="str">
        <f>"protein coding gene"</f>
        <v>protein coding gene</v>
      </c>
    </row>
    <row r="399" spans="1:10">
      <c r="A399">
        <v>10338348</v>
      </c>
      <c r="B399">
        <v>2.72354085391988</v>
      </c>
      <c r="C399">
        <v>0.64476996231443195</v>
      </c>
      <c r="E399" t="str">
        <f>"10338348"</f>
        <v>10338348</v>
      </c>
      <c r="F399" t="str">
        <f>""</f>
        <v/>
      </c>
      <c r="G399" t="str">
        <f>"No associated gene"</f>
        <v>No associated gene</v>
      </c>
    </row>
    <row r="400" spans="1:10">
      <c r="A400">
        <v>10350489</v>
      </c>
      <c r="B400">
        <v>2.72291438593673</v>
      </c>
      <c r="C400">
        <v>1.3451744452968499</v>
      </c>
      <c r="E400" t="str">
        <f>"10350489"</f>
        <v>10350489</v>
      </c>
      <c r="F400" t="str">
        <f>"Affy 1.0 ST"</f>
        <v>Affy 1.0 ST</v>
      </c>
      <c r="G400" t="str">
        <f>"MGI:1914848"</f>
        <v>MGI:1914848</v>
      </c>
      <c r="H400" t="str">
        <f>"Uchl5"</f>
        <v>Uchl5</v>
      </c>
      <c r="I400" t="str">
        <f>"ubiquitin carboxyl-terminal esterase L5"</f>
        <v>ubiquitin carboxyl-terminal esterase L5</v>
      </c>
      <c r="J400" t="str">
        <f>"protein coding gene"</f>
        <v>protein coding gene</v>
      </c>
    </row>
    <row r="401" spans="1:10">
      <c r="A401">
        <v>10521690</v>
      </c>
      <c r="B401">
        <v>2.7116764435102501</v>
      </c>
      <c r="C401">
        <v>1.1358904588871199</v>
      </c>
      <c r="E401" t="str">
        <f>"10521690"</f>
        <v>10521690</v>
      </c>
      <c r="F401" t="str">
        <f>"Affy 1.0 ST"</f>
        <v>Affy 1.0 ST</v>
      </c>
      <c r="G401" t="str">
        <f>"MGI:106499"</f>
        <v>MGI:106499</v>
      </c>
      <c r="H401" t="str">
        <f>"Ppih"</f>
        <v>Ppih</v>
      </c>
      <c r="I401" t="str">
        <f>"peptidyl prolyl isomerase H"</f>
        <v>peptidyl prolyl isomerase H</v>
      </c>
      <c r="J401" t="str">
        <f>"protein coding gene"</f>
        <v>protein coding gene</v>
      </c>
    </row>
    <row r="402" spans="1:10">
      <c r="A402">
        <v>10556790</v>
      </c>
      <c r="B402">
        <v>2.7115354169071999</v>
      </c>
      <c r="C402">
        <v>8.9050707280731001E-2</v>
      </c>
      <c r="E402" t="str">
        <f>"10556790"</f>
        <v>10556790</v>
      </c>
      <c r="F402" t="str">
        <f>"Affy 1.0 ST"</f>
        <v>Affy 1.0 ST</v>
      </c>
      <c r="G402" t="str">
        <f>"MGI:1919402"</f>
        <v>MGI:1919402</v>
      </c>
      <c r="H402" t="str">
        <f>"2610020H08Rik"</f>
        <v>2610020H08Rik</v>
      </c>
      <c r="I402" t="str">
        <f>"RIKEN cDNA 2610020H08 gene"</f>
        <v>RIKEN cDNA 2610020H08 gene</v>
      </c>
      <c r="J402" t="str">
        <f>"protein coding gene"</f>
        <v>protein coding gene</v>
      </c>
    </row>
    <row r="403" spans="1:10">
      <c r="A403">
        <v>10339713</v>
      </c>
      <c r="B403">
        <v>2.7011790542348</v>
      </c>
      <c r="C403">
        <v>0.254631885800083</v>
      </c>
      <c r="E403" t="str">
        <f>"10339713"</f>
        <v>10339713</v>
      </c>
      <c r="F403" t="str">
        <f>""</f>
        <v/>
      </c>
      <c r="G403" t="str">
        <f>"No associated gene"</f>
        <v>No associated gene</v>
      </c>
    </row>
    <row r="404" spans="1:10">
      <c r="A404">
        <v>10452658</v>
      </c>
      <c r="B404">
        <v>2.7000990202236701</v>
      </c>
      <c r="C404">
        <v>0.93059152592831695</v>
      </c>
      <c r="E404" t="str">
        <f>"10452658"</f>
        <v>10452658</v>
      </c>
      <c r="F404" t="str">
        <f t="shared" ref="F404:F412" si="27">"Affy 1.0 ST"</f>
        <v>Affy 1.0 ST</v>
      </c>
      <c r="G404" t="str">
        <f>"MGI:1921605"</f>
        <v>MGI:1921605</v>
      </c>
      <c r="H404" t="str">
        <f>"Smchd1"</f>
        <v>Smchd1</v>
      </c>
      <c r="I404" t="str">
        <f>"SMC hinge domain containing 1"</f>
        <v>SMC hinge domain containing 1</v>
      </c>
      <c r="J404" t="str">
        <f>"protein coding gene"</f>
        <v>protein coding gene</v>
      </c>
    </row>
    <row r="405" spans="1:10">
      <c r="A405">
        <v>10576090</v>
      </c>
      <c r="B405">
        <v>2.6964550814766199</v>
      </c>
      <c r="C405">
        <v>0.85606675742552796</v>
      </c>
      <c r="E405" t="str">
        <f>"10576090"</f>
        <v>10576090</v>
      </c>
      <c r="F405" t="str">
        <f t="shared" si="27"/>
        <v>Affy 1.0 ST</v>
      </c>
      <c r="G405" t="str">
        <f>"MGI:1095400"</f>
        <v>MGI:1095400</v>
      </c>
      <c r="H405" t="str">
        <f>"Zfpm1"</f>
        <v>Zfpm1</v>
      </c>
      <c r="I405" t="s">
        <v>1951</v>
      </c>
      <c r="J405" t="s">
        <v>2010</v>
      </c>
    </row>
    <row r="406" spans="1:10">
      <c r="A406">
        <v>10411974</v>
      </c>
      <c r="B406">
        <v>2.6882464909383401</v>
      </c>
      <c r="C406">
        <v>1.1901788328290901</v>
      </c>
      <c r="E406" t="str">
        <f>"10411974"</f>
        <v>10411974</v>
      </c>
      <c r="F406" t="str">
        <f t="shared" si="27"/>
        <v>Affy 1.0 ST</v>
      </c>
      <c r="G406" t="str">
        <f>"MGI:2442377"</f>
        <v>MGI:2442377</v>
      </c>
      <c r="H406" t="str">
        <f>"Ipo11"</f>
        <v>Ipo11</v>
      </c>
      <c r="I406" t="str">
        <f>"importin 11"</f>
        <v>importin 11</v>
      </c>
      <c r="J406" t="str">
        <f>"protein coding gene"</f>
        <v>protein coding gene</v>
      </c>
    </row>
    <row r="407" spans="1:10">
      <c r="A407">
        <v>10605055</v>
      </c>
      <c r="B407">
        <v>2.68730018857956</v>
      </c>
      <c r="C407">
        <v>0.48120492222424599</v>
      </c>
      <c r="E407" t="str">
        <f>"10605055"</f>
        <v>10605055</v>
      </c>
      <c r="F407" t="str">
        <f t="shared" si="27"/>
        <v>Affy 1.0 ST</v>
      </c>
      <c r="G407" t="str">
        <f>"MGI:1920988"</f>
        <v>MGI:1920988</v>
      </c>
      <c r="H407" t="str">
        <f>"Haus7"</f>
        <v>Haus7</v>
      </c>
      <c r="I407" t="s">
        <v>1952</v>
      </c>
      <c r="J407" t="s">
        <v>2010</v>
      </c>
    </row>
    <row r="408" spans="1:10">
      <c r="A408">
        <v>10567022</v>
      </c>
      <c r="B408">
        <v>2.6845045271434498</v>
      </c>
      <c r="C408">
        <v>0.84996260006400803</v>
      </c>
      <c r="E408" t="str">
        <f>"10567022"</f>
        <v>10567022</v>
      </c>
      <c r="F408" t="str">
        <f t="shared" si="27"/>
        <v>Affy 1.0 ST</v>
      </c>
      <c r="G408" t="str">
        <f>"MGI:1916065"</f>
        <v>MGI:1916065</v>
      </c>
      <c r="H408" t="str">
        <f>"Btbd10"</f>
        <v>Btbd10</v>
      </c>
      <c r="I408" t="str">
        <f>"BTB (POZ) domain containing 10"</f>
        <v>BTB (POZ) domain containing 10</v>
      </c>
      <c r="J408" t="str">
        <f>"protein coding gene"</f>
        <v>protein coding gene</v>
      </c>
    </row>
    <row r="409" spans="1:10">
      <c r="A409">
        <v>10393844</v>
      </c>
      <c r="B409">
        <v>2.68204236399139</v>
      </c>
      <c r="C409">
        <v>0.85206054117933305</v>
      </c>
      <c r="E409" t="str">
        <f>"10393844"</f>
        <v>10393844</v>
      </c>
      <c r="F409" t="str">
        <f t="shared" si="27"/>
        <v>Affy 1.0 ST</v>
      </c>
      <c r="G409" t="str">
        <f>"MGI:1341044"</f>
        <v>MGI:1341044</v>
      </c>
      <c r="H409" t="str">
        <f>"Thoc4"</f>
        <v>Thoc4</v>
      </c>
      <c r="I409" t="str">
        <f>"THO complex 4"</f>
        <v>THO complex 4</v>
      </c>
      <c r="J409" t="str">
        <f>"protein coding gene"</f>
        <v>protein coding gene</v>
      </c>
    </row>
    <row r="410" spans="1:10">
      <c r="A410">
        <v>10495316</v>
      </c>
      <c r="B410">
        <v>2.6794263920517301</v>
      </c>
      <c r="C410">
        <v>0.48475543146493799</v>
      </c>
      <c r="E410" t="str">
        <f>"10495316"</f>
        <v>10495316</v>
      </c>
      <c r="F410" t="str">
        <f t="shared" si="27"/>
        <v>Affy 1.0 ST</v>
      </c>
      <c r="G410" t="str">
        <f>"MGI:1913099"</f>
        <v>MGI:1913099</v>
      </c>
      <c r="H410" t="str">
        <f>"Psrc1"</f>
        <v>Psrc1</v>
      </c>
      <c r="I410" t="str">
        <f>"proline/serine-rich coiled-coil 1"</f>
        <v>proline/serine-rich coiled-coil 1</v>
      </c>
      <c r="J410" t="str">
        <f>"protein coding gene"</f>
        <v>protein coding gene</v>
      </c>
    </row>
    <row r="411" spans="1:10">
      <c r="A411">
        <v>10551822</v>
      </c>
      <c r="B411">
        <v>2.6702128030448402</v>
      </c>
      <c r="C411">
        <v>0.19687625274370801</v>
      </c>
      <c r="E411" t="str">
        <f>"10551822"</f>
        <v>10551822</v>
      </c>
      <c r="F411" t="str">
        <f t="shared" si="27"/>
        <v>Affy 1.0 ST</v>
      </c>
      <c r="G411" t="str">
        <f>"MGI:3588204"</f>
        <v>MGI:3588204</v>
      </c>
      <c r="H411" t="str">
        <f>"Zfp382"</f>
        <v>Zfp382</v>
      </c>
      <c r="I411" t="str">
        <f>"zinc finger protein 382"</f>
        <v>zinc finger protein 382</v>
      </c>
      <c r="J411" t="str">
        <f>"protein coding gene"</f>
        <v>protein coding gene</v>
      </c>
    </row>
    <row r="412" spans="1:10">
      <c r="A412">
        <v>10552118</v>
      </c>
      <c r="B412">
        <v>2.6651700651769601</v>
      </c>
      <c r="C412">
        <v>0.41175180526439298</v>
      </c>
      <c r="E412" t="str">
        <f>"10552118"</f>
        <v>10552118</v>
      </c>
      <c r="F412" t="str">
        <f t="shared" si="27"/>
        <v>Affy 1.0 ST</v>
      </c>
      <c r="G412" t="str">
        <f>"MGI:3649708"</f>
        <v>MGI:3649708</v>
      </c>
      <c r="H412" t="str">
        <f>"Gm12755"</f>
        <v>Gm12755</v>
      </c>
      <c r="I412" t="str">
        <f>"predicted gene 12755"</f>
        <v>predicted gene 12755</v>
      </c>
      <c r="J412" t="str">
        <f>"pseudogene"</f>
        <v>pseudogene</v>
      </c>
    </row>
    <row r="413" spans="1:10">
      <c r="A413">
        <v>10339750</v>
      </c>
      <c r="B413">
        <v>2.6618892279502901</v>
      </c>
      <c r="C413">
        <v>0.51908582649826995</v>
      </c>
      <c r="E413" t="str">
        <f>"10339750"</f>
        <v>10339750</v>
      </c>
      <c r="F413" t="str">
        <f>""</f>
        <v/>
      </c>
      <c r="G413" t="str">
        <f>"No associated gene"</f>
        <v>No associated gene</v>
      </c>
    </row>
    <row r="414" spans="1:10">
      <c r="A414">
        <v>10430032</v>
      </c>
      <c r="B414">
        <v>2.6613281457837998</v>
      </c>
      <c r="C414">
        <v>0.96391339300140599</v>
      </c>
      <c r="E414" t="str">
        <f>"10430032"</f>
        <v>10430032</v>
      </c>
      <c r="F414" t="str">
        <f t="shared" ref="F414:F439" si="28">"Affy 1.0 ST"</f>
        <v>Affy 1.0 ST</v>
      </c>
      <c r="G414" t="str">
        <f>"MGI:1919999"</f>
        <v>MGI:1919999</v>
      </c>
      <c r="H414" t="str">
        <f>"Tonsl"</f>
        <v>Tonsl</v>
      </c>
      <c r="I414" t="s">
        <v>1953</v>
      </c>
      <c r="J414" t="s">
        <v>2010</v>
      </c>
    </row>
    <row r="415" spans="1:10">
      <c r="A415">
        <v>10381334</v>
      </c>
      <c r="B415">
        <v>2.6603052959301099</v>
      </c>
      <c r="C415">
        <v>0.58247367105163195</v>
      </c>
      <c r="E415" t="str">
        <f>"10381334"</f>
        <v>10381334</v>
      </c>
      <c r="F415" t="str">
        <f t="shared" si="28"/>
        <v>Affy 1.0 ST</v>
      </c>
      <c r="G415" t="str">
        <f>"MGI:1923965"</f>
        <v>MGI:1923965</v>
      </c>
      <c r="H415" t="str">
        <f>"Cntd1"</f>
        <v>Cntd1</v>
      </c>
      <c r="I415" t="str">
        <f>"cyclin N-terminal domain containing 1"</f>
        <v>cyclin N-terminal domain containing 1</v>
      </c>
      <c r="J415" t="str">
        <f>"protein coding gene"</f>
        <v>protein coding gene</v>
      </c>
    </row>
    <row r="416" spans="1:10">
      <c r="A416">
        <v>10410756</v>
      </c>
      <c r="B416">
        <v>2.6598275956855399</v>
      </c>
      <c r="C416">
        <v>0.82119398658174803</v>
      </c>
      <c r="E416" t="str">
        <f>"10410756"</f>
        <v>10410756</v>
      </c>
      <c r="F416" t="str">
        <f t="shared" si="28"/>
        <v>Affy 1.0 ST</v>
      </c>
      <c r="G416" t="str">
        <f>"MGI:2145448"</f>
        <v>MGI:2145448</v>
      </c>
      <c r="H416" t="str">
        <f>"Ankrd32"</f>
        <v>Ankrd32</v>
      </c>
      <c r="I416" t="str">
        <f>"ankyrin repeat domain 32"</f>
        <v>ankyrin repeat domain 32</v>
      </c>
      <c r="J416" t="str">
        <f>"protein coding gene"</f>
        <v>protein coding gene</v>
      </c>
    </row>
    <row r="417" spans="1:10">
      <c r="A417">
        <v>10448975</v>
      </c>
      <c r="B417">
        <v>2.65633268716791</v>
      </c>
      <c r="C417">
        <v>0.56095807140786003</v>
      </c>
      <c r="E417" t="str">
        <f>"10448975"</f>
        <v>10448975</v>
      </c>
      <c r="F417" t="str">
        <f t="shared" si="28"/>
        <v>Affy 1.0 ST</v>
      </c>
      <c r="G417" t="str">
        <f>"MGI:2384887"</f>
        <v>MGI:2384887</v>
      </c>
      <c r="H417" t="str">
        <f>"Chtf18"</f>
        <v>Chtf18</v>
      </c>
      <c r="I417" t="s">
        <v>2032</v>
      </c>
      <c r="J417" t="s">
        <v>2010</v>
      </c>
    </row>
    <row r="418" spans="1:10">
      <c r="A418">
        <v>10563649</v>
      </c>
      <c r="B418">
        <v>2.6560894752348401</v>
      </c>
      <c r="C418">
        <v>0.42895943072509302</v>
      </c>
      <c r="E418" t="str">
        <f>"10563649"</f>
        <v>10563649</v>
      </c>
      <c r="F418" t="str">
        <f t="shared" si="28"/>
        <v>Affy 1.0 ST</v>
      </c>
      <c r="G418" t="str">
        <f>"MGI:1860490"</f>
        <v>MGI:1860490</v>
      </c>
      <c r="H418" t="str">
        <f>"Uevld"</f>
        <v>Uevld</v>
      </c>
      <c r="I418" t="str">
        <f>"UEV and lactate/malate dehyrogenase domains"</f>
        <v>UEV and lactate/malate dehyrogenase domains</v>
      </c>
      <c r="J418" t="str">
        <f t="shared" ref="J418:J424" si="29">"protein coding gene"</f>
        <v>protein coding gene</v>
      </c>
    </row>
    <row r="419" spans="1:10">
      <c r="A419">
        <v>10455813</v>
      </c>
      <c r="B419">
        <v>2.6559590773114001</v>
      </c>
      <c r="C419">
        <v>0.85185987412645603</v>
      </c>
      <c r="E419" t="str">
        <f>"10455813"</f>
        <v>10455813</v>
      </c>
      <c r="F419" t="str">
        <f t="shared" si="28"/>
        <v>Affy 1.0 ST</v>
      </c>
      <c r="G419" t="str">
        <f>"MGI:96795"</f>
        <v>MGI:96795</v>
      </c>
      <c r="H419" t="str">
        <f>"Lmnb1"</f>
        <v>Lmnb1</v>
      </c>
      <c r="I419" t="str">
        <f>"lamin B1"</f>
        <v>lamin B1</v>
      </c>
      <c r="J419" t="str">
        <f t="shared" si="29"/>
        <v>protein coding gene</v>
      </c>
    </row>
    <row r="420" spans="1:10">
      <c r="A420">
        <v>10413574</v>
      </c>
      <c r="B420">
        <v>2.6384509655556201</v>
      </c>
      <c r="C420">
        <v>0.60932560419384696</v>
      </c>
      <c r="E420" t="str">
        <f>"10413574"</f>
        <v>10413574</v>
      </c>
      <c r="F420" t="str">
        <f t="shared" si="28"/>
        <v>Affy 1.0 ST</v>
      </c>
      <c r="G420" t="str">
        <f>"MGI:1859609"</f>
        <v>MGI:1859609</v>
      </c>
      <c r="H420" t="str">
        <f>"Sfmbt1"</f>
        <v>Sfmbt1</v>
      </c>
      <c r="I420" t="str">
        <f>"Scm-like with four mbt domains 1"</f>
        <v>Scm-like with four mbt domains 1</v>
      </c>
      <c r="J420" t="str">
        <f t="shared" si="29"/>
        <v>protein coding gene</v>
      </c>
    </row>
    <row r="421" spans="1:10">
      <c r="A421">
        <v>10582981</v>
      </c>
      <c r="B421">
        <v>2.6365232509152801</v>
      </c>
      <c r="C421">
        <v>1.1714947312724</v>
      </c>
      <c r="E421" t="str">
        <f>"10582981"</f>
        <v>10582981</v>
      </c>
      <c r="F421" t="str">
        <f t="shared" si="28"/>
        <v>Affy 1.0 ST</v>
      </c>
      <c r="G421" t="str">
        <f>"MGI:101934"</f>
        <v>MGI:101934</v>
      </c>
      <c r="H421" t="str">
        <f>"Tfdp1"</f>
        <v>Tfdp1</v>
      </c>
      <c r="I421" t="str">
        <f>"transcription factor Dp 1"</f>
        <v>transcription factor Dp 1</v>
      </c>
      <c r="J421" t="str">
        <f t="shared" si="29"/>
        <v>protein coding gene</v>
      </c>
    </row>
    <row r="422" spans="1:10">
      <c r="A422">
        <v>10363312</v>
      </c>
      <c r="B422">
        <v>2.6362653159632101</v>
      </c>
      <c r="C422">
        <v>0.490723016257957</v>
      </c>
      <c r="E422" t="str">
        <f>"10363312"</f>
        <v>10363312</v>
      </c>
      <c r="F422" t="str">
        <f t="shared" si="28"/>
        <v>Affy 1.0 ST</v>
      </c>
      <c r="G422" t="str">
        <f>"MGI:1923388"</f>
        <v>MGI:1923388</v>
      </c>
      <c r="H422" t="str">
        <f>"Ccdc138"</f>
        <v>Ccdc138</v>
      </c>
      <c r="I422" t="str">
        <f>"coiled-coil domain containing 138"</f>
        <v>coiled-coil domain containing 138</v>
      </c>
      <c r="J422" t="str">
        <f t="shared" si="29"/>
        <v>protein coding gene</v>
      </c>
    </row>
    <row r="423" spans="1:10">
      <c r="A423">
        <v>10453252</v>
      </c>
      <c r="B423">
        <v>2.6331393042513098</v>
      </c>
      <c r="C423">
        <v>0.30934387595247298</v>
      </c>
      <c r="E423" t="str">
        <f>"10453252"</f>
        <v>10453252</v>
      </c>
      <c r="F423" t="str">
        <f t="shared" si="28"/>
        <v>Affy 1.0 ST</v>
      </c>
      <c r="G423" t="str">
        <f>"MGI:96113"</f>
        <v>MGI:96113</v>
      </c>
      <c r="H423" t="str">
        <f>"Hmgb1"</f>
        <v>Hmgb1</v>
      </c>
      <c r="I423" t="str">
        <f>"high mobility group box 1"</f>
        <v>high mobility group box 1</v>
      </c>
      <c r="J423" t="str">
        <f t="shared" si="29"/>
        <v>protein coding gene</v>
      </c>
    </row>
    <row r="424" spans="1:10">
      <c r="A424">
        <v>10572605</v>
      </c>
      <c r="B424">
        <v>2.6301543650174102</v>
      </c>
      <c r="C424">
        <v>0.84623674042103003</v>
      </c>
      <c r="E424" t="str">
        <f>"10572605"</f>
        <v>10572605</v>
      </c>
      <c r="F424" t="str">
        <f t="shared" si="28"/>
        <v>Affy 1.0 ST</v>
      </c>
      <c r="G424" t="str">
        <f>"MGI:1918775"</f>
        <v>MGI:1918775</v>
      </c>
      <c r="H424" t="str">
        <f>"Ankle1"</f>
        <v>Ankle1</v>
      </c>
      <c r="I424" t="str">
        <f>"ankyrin repeat and LEM domain containing 1"</f>
        <v>ankyrin repeat and LEM domain containing 1</v>
      </c>
      <c r="J424" t="str">
        <f t="shared" si="29"/>
        <v>protein coding gene</v>
      </c>
    </row>
    <row r="425" spans="1:10">
      <c r="A425">
        <v>10501690</v>
      </c>
      <c r="B425">
        <v>2.6237839744184099</v>
      </c>
      <c r="C425">
        <v>1.0016569173694501</v>
      </c>
      <c r="E425" t="str">
        <f>"10501690"</f>
        <v>10501690</v>
      </c>
      <c r="F425" t="str">
        <f t="shared" si="28"/>
        <v>Affy 1.0 ST</v>
      </c>
      <c r="G425" t="str">
        <f>"MGI:1917648"</f>
        <v>MGI:1917648</v>
      </c>
      <c r="H425" t="str">
        <f>"Slc35a3"</f>
        <v>Slc35a3</v>
      </c>
      <c r="I425" t="s">
        <v>2033</v>
      </c>
      <c r="J425" t="s">
        <v>2010</v>
      </c>
    </row>
    <row r="426" spans="1:10">
      <c r="A426">
        <v>10348521</v>
      </c>
      <c r="B426">
        <v>2.6103146000894499</v>
      </c>
      <c r="C426">
        <v>0.54515940187692902</v>
      </c>
      <c r="E426" t="str">
        <f>"10348521"</f>
        <v>10348521</v>
      </c>
      <c r="F426" t="str">
        <f t="shared" si="28"/>
        <v>Affy 1.0 ST</v>
      </c>
      <c r="G426" t="str">
        <f>"MGI:2685663"</f>
        <v>MGI:2685663</v>
      </c>
      <c r="H426" t="str">
        <f>"Rbm44"</f>
        <v>Rbm44</v>
      </c>
      <c r="I426" t="str">
        <f>"RNA binding motif protein 44"</f>
        <v>RNA binding motif protein 44</v>
      </c>
      <c r="J426" t="str">
        <f>"protein coding gene"</f>
        <v>protein coding gene</v>
      </c>
    </row>
    <row r="427" spans="1:10">
      <c r="A427">
        <v>10473230</v>
      </c>
      <c r="B427">
        <v>2.59893034195674</v>
      </c>
      <c r="C427">
        <v>0.25667972326208299</v>
      </c>
      <c r="E427" t="str">
        <f>"10473230"</f>
        <v>10473230</v>
      </c>
      <c r="F427" t="str">
        <f t="shared" si="28"/>
        <v>Affy 1.0 ST</v>
      </c>
      <c r="G427" t="str">
        <f>"MGI:1916732"</f>
        <v>MGI:1916732</v>
      </c>
      <c r="H427" t="str">
        <f>"Nup35"</f>
        <v>Nup35</v>
      </c>
      <c r="I427" t="str">
        <f>"nucleoporin 35"</f>
        <v>nucleoporin 35</v>
      </c>
      <c r="J427" t="str">
        <f>"protein coding gene"</f>
        <v>protein coding gene</v>
      </c>
    </row>
    <row r="428" spans="1:10">
      <c r="A428">
        <v>10461930</v>
      </c>
      <c r="B428">
        <v>2.5932831038825301</v>
      </c>
      <c r="C428">
        <v>0.76108698804681596</v>
      </c>
      <c r="E428" t="str">
        <f>"10461930"</f>
        <v>10461930</v>
      </c>
      <c r="F428" t="str">
        <f t="shared" si="28"/>
        <v>Affy 1.0 ST</v>
      </c>
      <c r="G428" t="str">
        <f>"MGI:3583960"</f>
        <v>MGI:3583960</v>
      </c>
      <c r="H428" t="str">
        <f>"D030056L22Rik"</f>
        <v>D030056L22Rik</v>
      </c>
      <c r="I428" t="str">
        <f>"RIKEN cDNA D030056L22 gene"</f>
        <v>RIKEN cDNA D030056L22 gene</v>
      </c>
      <c r="J428" t="str">
        <f>"protein coding gene"</f>
        <v>protein coding gene</v>
      </c>
    </row>
    <row r="429" spans="1:10">
      <c r="A429">
        <v>10440794</v>
      </c>
      <c r="B429">
        <v>2.5861276624490799</v>
      </c>
      <c r="C429">
        <v>0.70248439479677804</v>
      </c>
      <c r="E429" t="str">
        <f>"10440794"</f>
        <v>10440794</v>
      </c>
      <c r="F429" t="str">
        <f t="shared" si="28"/>
        <v>Affy 1.0 ST</v>
      </c>
      <c r="G429" t="str">
        <f>"MGI:1913828"</f>
        <v>MGI:1913828</v>
      </c>
      <c r="H429" t="str">
        <f>"2610039C10Rik"</f>
        <v>2610039C10Rik</v>
      </c>
      <c r="I429" t="str">
        <f>"RIKEN cDNA 2610039C10 gene"</f>
        <v>RIKEN cDNA 2610039C10 gene</v>
      </c>
      <c r="J429" t="str">
        <f>"protein coding gene"</f>
        <v>protein coding gene</v>
      </c>
    </row>
    <row r="430" spans="1:10">
      <c r="A430">
        <v>10359770</v>
      </c>
      <c r="B430">
        <v>2.5818781222657101</v>
      </c>
      <c r="C430">
        <v>0.69706579140760405</v>
      </c>
      <c r="E430" t="str">
        <f>"10359770"</f>
        <v>10359770</v>
      </c>
      <c r="F430" t="str">
        <f t="shared" si="28"/>
        <v>Affy 1.0 ST</v>
      </c>
      <c r="G430" t="str">
        <f>"MGI:101898"</f>
        <v>MGI:101898</v>
      </c>
      <c r="H430" t="str">
        <f>"Pou2f1"</f>
        <v>Pou2f1</v>
      </c>
      <c r="I430" t="s">
        <v>2034</v>
      </c>
      <c r="J430" t="s">
        <v>2010</v>
      </c>
    </row>
    <row r="431" spans="1:10">
      <c r="A431">
        <v>10346549</v>
      </c>
      <c r="B431">
        <v>2.5793102786761799</v>
      </c>
      <c r="C431">
        <v>0.98121790042810597</v>
      </c>
      <c r="E431" t="str">
        <f>"10346549"</f>
        <v>10346549</v>
      </c>
      <c r="F431" t="str">
        <f t="shared" si="28"/>
        <v>Affy 1.0 ST</v>
      </c>
      <c r="G431" t="str">
        <f>"MGI:108515"</f>
        <v>MGI:108515</v>
      </c>
      <c r="H431" t="str">
        <f>"Cbx3"</f>
        <v>Cbx3</v>
      </c>
      <c r="I431" t="str">
        <f>"chromobox homolog 3 (Drosophila HP1 gamma)"</f>
        <v>chromobox homolog 3 (Drosophila HP1 gamma)</v>
      </c>
      <c r="J431" t="str">
        <f>"protein coding gene"</f>
        <v>protein coding gene</v>
      </c>
    </row>
    <row r="432" spans="1:10">
      <c r="A432">
        <v>10377380</v>
      </c>
      <c r="B432">
        <v>2.5755331474216301</v>
      </c>
      <c r="C432">
        <v>1.1026328173087601</v>
      </c>
      <c r="E432" t="str">
        <f>"10377380"</f>
        <v>10377380</v>
      </c>
      <c r="F432" t="str">
        <f t="shared" si="28"/>
        <v>Affy 1.0 ST</v>
      </c>
      <c r="G432" t="str">
        <f>"MGI:1916214"</f>
        <v>MGI:1916214</v>
      </c>
      <c r="H432" t="str">
        <f>"1500010J02Rik"</f>
        <v>1500010J02Rik</v>
      </c>
      <c r="I432" t="str">
        <f>"RIKEN cDNA 1500010J02 gene"</f>
        <v>RIKEN cDNA 1500010J02 gene</v>
      </c>
      <c r="J432" t="str">
        <f>"protein coding gene"</f>
        <v>protein coding gene</v>
      </c>
    </row>
    <row r="433" spans="1:10">
      <c r="A433">
        <v>10373407</v>
      </c>
      <c r="B433">
        <v>2.5688926688674898</v>
      </c>
      <c r="C433">
        <v>0.82896902353173596</v>
      </c>
      <c r="E433" t="str">
        <f>"10373407"</f>
        <v>10373407</v>
      </c>
      <c r="F433" t="str">
        <f t="shared" si="28"/>
        <v>Affy 1.0 ST</v>
      </c>
      <c r="G433" t="str">
        <f>"MGI:1344426"</f>
        <v>MGI:1344426</v>
      </c>
      <c r="H433" t="str">
        <f>"Esyt1"</f>
        <v>Esyt1</v>
      </c>
      <c r="I433" t="str">
        <f>"extended synaptotagmin-like protein 1"</f>
        <v>extended synaptotagmin-like protein 1</v>
      </c>
      <c r="J433" t="str">
        <f>"protein coding gene"</f>
        <v>protein coding gene</v>
      </c>
    </row>
    <row r="434" spans="1:10">
      <c r="A434">
        <v>10389421</v>
      </c>
      <c r="B434">
        <v>2.5641674922537501</v>
      </c>
      <c r="C434">
        <v>0.58384691719411697</v>
      </c>
      <c r="E434" t="str">
        <f>"10389421"</f>
        <v>10389421</v>
      </c>
      <c r="F434" t="str">
        <f t="shared" si="28"/>
        <v>Affy 1.0 ST</v>
      </c>
      <c r="G434" t="str">
        <f>"MGI:1917672"</f>
        <v>MGI:1917672</v>
      </c>
      <c r="H434" t="str">
        <f>"Ints2"</f>
        <v>Ints2</v>
      </c>
      <c r="I434" t="str">
        <f>"integrator complex subunit 2"</f>
        <v>integrator complex subunit 2</v>
      </c>
      <c r="J434" t="str">
        <f>"protein coding gene"</f>
        <v>protein coding gene</v>
      </c>
    </row>
    <row r="435" spans="1:10">
      <c r="A435">
        <v>10463739</v>
      </c>
      <c r="B435">
        <v>2.5484212805276898</v>
      </c>
      <c r="C435">
        <v>0.48120178696736798</v>
      </c>
      <c r="E435" t="str">
        <f>"10463739"</f>
        <v>10463739</v>
      </c>
      <c r="F435" t="str">
        <f t="shared" si="28"/>
        <v>Affy 1.0 ST</v>
      </c>
      <c r="G435" t="str">
        <f>"MGI:2442144"</f>
        <v>MGI:2442144</v>
      </c>
      <c r="H435" t="str">
        <f>"Taf5"</f>
        <v>Taf5</v>
      </c>
      <c r="I435" t="s">
        <v>1956</v>
      </c>
      <c r="J435" t="s">
        <v>2010</v>
      </c>
    </row>
    <row r="436" spans="1:10">
      <c r="A436">
        <v>10348004</v>
      </c>
      <c r="B436">
        <v>2.54237848807254</v>
      </c>
      <c r="C436">
        <v>0.98663899286299905</v>
      </c>
      <c r="E436" t="str">
        <f>"10348004"</f>
        <v>10348004</v>
      </c>
      <c r="F436" t="str">
        <f t="shared" si="28"/>
        <v>Affy 1.0 ST</v>
      </c>
      <c r="G436" t="str">
        <f>"MGI:1917497"</f>
        <v>MGI:1917497</v>
      </c>
      <c r="H436" t="str">
        <f>"Psmd1"</f>
        <v>Psmd1</v>
      </c>
      <c r="I436" t="s">
        <v>1990</v>
      </c>
      <c r="J436" t="s">
        <v>2010</v>
      </c>
    </row>
    <row r="437" spans="1:10">
      <c r="A437">
        <v>10362245</v>
      </c>
      <c r="B437">
        <v>2.5336787041433402</v>
      </c>
      <c r="C437">
        <v>0.548067867009146</v>
      </c>
      <c r="E437" t="str">
        <f>"10362245"</f>
        <v>10362245</v>
      </c>
      <c r="F437" t="str">
        <f t="shared" si="28"/>
        <v>Affy 1.0 ST</v>
      </c>
      <c r="G437" t="str">
        <f>"MGI:103009"</f>
        <v>MGI:103009</v>
      </c>
      <c r="H437" t="str">
        <f>"Epb4.1l2"</f>
        <v>Epb4.1l2</v>
      </c>
      <c r="I437" t="str">
        <f>"erythrocyte protein band 4.1-like 2"</f>
        <v>erythrocyte protein band 4.1-like 2</v>
      </c>
      <c r="J437" t="str">
        <f>"protein coding gene"</f>
        <v>protein coding gene</v>
      </c>
    </row>
    <row r="438" spans="1:10">
      <c r="A438">
        <v>10450605</v>
      </c>
      <c r="B438">
        <v>2.5324962083337601</v>
      </c>
      <c r="C438">
        <v>0.95253861258731598</v>
      </c>
      <c r="E438" t="str">
        <f>"10450605"</f>
        <v>10450605</v>
      </c>
      <c r="F438" t="str">
        <f t="shared" si="28"/>
        <v>Affy 1.0 ST</v>
      </c>
      <c r="G438" t="str">
        <f>"MGI:107812"</f>
        <v>MGI:107812</v>
      </c>
      <c r="H438" t="str">
        <f>"Tubb5"</f>
        <v>Tubb5</v>
      </c>
      <c r="I438" t="s">
        <v>1957</v>
      </c>
      <c r="J438" t="s">
        <v>2010</v>
      </c>
    </row>
    <row r="439" spans="1:10">
      <c r="A439">
        <v>10376455</v>
      </c>
      <c r="B439">
        <v>2.5307858908190299</v>
      </c>
      <c r="C439">
        <v>0.35464284335868801</v>
      </c>
      <c r="E439" t="str">
        <f>"10376455"</f>
        <v>10376455</v>
      </c>
      <c r="F439" t="str">
        <f t="shared" si="28"/>
        <v>Affy 1.0 ST</v>
      </c>
      <c r="G439" t="str">
        <f>"MGI:2448458"</f>
        <v>MGI:2448458</v>
      </c>
      <c r="H439" t="str">
        <f>"Hist3h2a"</f>
        <v>Hist3h2a</v>
      </c>
      <c r="I439" t="s">
        <v>1958</v>
      </c>
      <c r="J439" t="s">
        <v>2010</v>
      </c>
    </row>
    <row r="440" spans="1:10">
      <c r="A440">
        <v>10399036</v>
      </c>
      <c r="B440">
        <v>2.5303495470319102</v>
      </c>
      <c r="C440">
        <v>0.86964606721376203</v>
      </c>
      <c r="E440" t="str">
        <f>"10399036"</f>
        <v>10399036</v>
      </c>
      <c r="F440" t="str">
        <f>""</f>
        <v/>
      </c>
      <c r="G440" t="str">
        <f>"No associated gene"</f>
        <v>No associated gene</v>
      </c>
    </row>
    <row r="441" spans="1:10">
      <c r="A441">
        <v>10514201</v>
      </c>
      <c r="B441">
        <v>2.5300368744039199</v>
      </c>
      <c r="C441">
        <v>0.62586142259638</v>
      </c>
      <c r="E441" t="str">
        <f>"10514201"</f>
        <v>10514201</v>
      </c>
      <c r="F441" t="str">
        <f>"Affy 1.0 ST"</f>
        <v>Affy 1.0 ST</v>
      </c>
      <c r="G441" t="str">
        <f>"MGI:1923389"</f>
        <v>MGI:1923389</v>
      </c>
      <c r="H441" t="str">
        <f>"Haus6"</f>
        <v>Haus6</v>
      </c>
      <c r="I441" t="s">
        <v>1959</v>
      </c>
      <c r="J441" t="s">
        <v>2010</v>
      </c>
    </row>
    <row r="442" spans="1:10">
      <c r="A442">
        <v>10344817</v>
      </c>
      <c r="B442">
        <v>2.52898787078861</v>
      </c>
      <c r="C442">
        <v>0.344841674674845</v>
      </c>
      <c r="E442" t="str">
        <f>"10344817"</f>
        <v>10344817</v>
      </c>
      <c r="F442" t="str">
        <f>"Affy 1.0 ST"</f>
        <v>Affy 1.0 ST</v>
      </c>
      <c r="G442" t="str">
        <f>"MGI:2681832"</f>
        <v>MGI:2681832</v>
      </c>
      <c r="H442" t="str">
        <f>"Cspp1"</f>
        <v>Cspp1</v>
      </c>
      <c r="I442" t="str">
        <f>"centrosome and spindle pole associated protein 1"</f>
        <v>centrosome and spindle pole associated protein 1</v>
      </c>
      <c r="J442" t="str">
        <f>"protein coding gene"</f>
        <v>protein coding gene</v>
      </c>
    </row>
    <row r="443" spans="1:10">
      <c r="A443">
        <v>10410743</v>
      </c>
      <c r="B443">
        <v>2.5207966630525198</v>
      </c>
      <c r="C443">
        <v>0.77747919055604098</v>
      </c>
      <c r="E443" t="str">
        <f>"10410743"</f>
        <v>10410743</v>
      </c>
      <c r="F443" t="str">
        <f>"Affy 1.0 ST"</f>
        <v>Affy 1.0 ST</v>
      </c>
      <c r="G443" t="str">
        <f>"MGI:2145448"</f>
        <v>MGI:2145448</v>
      </c>
      <c r="H443" t="str">
        <f>"Ankrd32"</f>
        <v>Ankrd32</v>
      </c>
      <c r="I443" t="str">
        <f>"ankyrin repeat domain 32"</f>
        <v>ankyrin repeat domain 32</v>
      </c>
      <c r="J443" t="str">
        <f>"protein coding gene"</f>
        <v>protein coding gene</v>
      </c>
    </row>
    <row r="444" spans="1:10">
      <c r="A444">
        <v>10411915</v>
      </c>
      <c r="B444">
        <v>2.5198433558856701</v>
      </c>
      <c r="C444">
        <v>0.39598157638082199</v>
      </c>
      <c r="E444" t="str">
        <f>"10411915"</f>
        <v>10411915</v>
      </c>
      <c r="F444" t="str">
        <f>"Affy 1.0 ST"</f>
        <v>Affy 1.0 ST</v>
      </c>
      <c r="G444" t="str">
        <f>"MGI:2443069"</f>
        <v>MGI:2443069</v>
      </c>
      <c r="H444" t="str">
        <f>"Ppwd1"</f>
        <v>Ppwd1</v>
      </c>
      <c r="I444" t="str">
        <f>"peptidylprolyl isomerase domain and WD repeat containing 1"</f>
        <v>peptidylprolyl isomerase domain and WD repeat containing 1</v>
      </c>
      <c r="J444" t="str">
        <f>"protein coding gene"</f>
        <v>protein coding gene</v>
      </c>
    </row>
    <row r="445" spans="1:10">
      <c r="A445">
        <v>10408329</v>
      </c>
      <c r="B445">
        <v>2.5146552714364701</v>
      </c>
      <c r="C445">
        <v>0.55898860669454298</v>
      </c>
      <c r="E445" t="str">
        <f>"10408329"</f>
        <v>10408329</v>
      </c>
      <c r="F445" t="str">
        <f>""</f>
        <v/>
      </c>
      <c r="G445" t="str">
        <f>"No associated gene"</f>
        <v>No associated gene</v>
      </c>
    </row>
    <row r="446" spans="1:10">
      <c r="A446">
        <v>10347386</v>
      </c>
      <c r="B446">
        <v>2.5144155749291399</v>
      </c>
      <c r="C446">
        <v>0.85604137431000804</v>
      </c>
      <c r="E446" t="str">
        <f>"10347386"</f>
        <v>10347386</v>
      </c>
      <c r="F446" t="str">
        <f t="shared" ref="F446:F458" si="30">"Affy 1.0 ST"</f>
        <v>Affy 1.0 ST</v>
      </c>
      <c r="G446" t="str">
        <f>"MGI:1928902"</f>
        <v>MGI:1928902</v>
      </c>
      <c r="H446" t="str">
        <f>"Rqcd1"</f>
        <v>Rqcd1</v>
      </c>
      <c r="I446" t="str">
        <f>"rcd1 (required for cell differentiation) homolog 1 (S. pombe)"</f>
        <v>rcd1 (required for cell differentiation) homolog 1 (S. pombe)</v>
      </c>
      <c r="J446" t="str">
        <f>"protein coding gene"</f>
        <v>protein coding gene</v>
      </c>
    </row>
    <row r="447" spans="1:10">
      <c r="A447">
        <v>10531707</v>
      </c>
      <c r="B447">
        <v>2.51190762212986</v>
      </c>
      <c r="C447">
        <v>0.78528908226002103</v>
      </c>
      <c r="E447" t="str">
        <f>"10531707"</f>
        <v>10531707</v>
      </c>
      <c r="F447" t="str">
        <f t="shared" si="30"/>
        <v>Affy 1.0 ST</v>
      </c>
      <c r="G447" t="str">
        <f>"MGI:2140902"</f>
        <v>MGI:2140902</v>
      </c>
      <c r="H447" t="str">
        <f>"Lin54"</f>
        <v>Lin54</v>
      </c>
      <c r="I447" t="str">
        <f>"lin-54 homolog (C. elegans)"</f>
        <v>lin-54 homolog (C. elegans)</v>
      </c>
      <c r="J447" t="str">
        <f>"protein coding gene"</f>
        <v>protein coding gene</v>
      </c>
    </row>
    <row r="448" spans="1:10">
      <c r="A448">
        <v>10495873</v>
      </c>
      <c r="B448">
        <v>2.5100161639566498</v>
      </c>
      <c r="C448">
        <v>1.1049855563339099</v>
      </c>
      <c r="E448" t="str">
        <f>"10495873"</f>
        <v>10495873</v>
      </c>
      <c r="F448" t="str">
        <f t="shared" si="30"/>
        <v>Affy 1.0 ST</v>
      </c>
      <c r="G448" t="str">
        <f>"MGI:97803"</f>
        <v>MGI:97803</v>
      </c>
      <c r="H448" t="str">
        <f>"Ptma"</f>
        <v>Ptma</v>
      </c>
      <c r="I448" t="str">
        <f>"prothymosin alpha"</f>
        <v>prothymosin alpha</v>
      </c>
      <c r="J448" t="str">
        <f>"protein coding gene"</f>
        <v>protein coding gene</v>
      </c>
    </row>
    <row r="449" spans="1:10">
      <c r="A449">
        <v>10452860</v>
      </c>
      <c r="B449">
        <v>2.5069123124796202</v>
      </c>
      <c r="C449">
        <v>0.65290280738958195</v>
      </c>
      <c r="E449" t="str">
        <f>"10452860"</f>
        <v>10452860</v>
      </c>
      <c r="F449" t="str">
        <f t="shared" si="30"/>
        <v>Affy 1.0 ST</v>
      </c>
      <c r="G449" t="str">
        <f>"MGI:1924140"</f>
        <v>MGI:1924140</v>
      </c>
      <c r="H449" t="str">
        <f>"Memo1"</f>
        <v>Memo1</v>
      </c>
      <c r="I449" t="str">
        <f>"mediator of cell motility 1"</f>
        <v>mediator of cell motility 1</v>
      </c>
      <c r="J449" t="str">
        <f>"protein coding gene"</f>
        <v>protein coding gene</v>
      </c>
    </row>
    <row r="450" spans="1:10">
      <c r="A450">
        <v>10469070</v>
      </c>
      <c r="B450">
        <v>2.5051099914906798</v>
      </c>
      <c r="C450">
        <v>0.73710696944476495</v>
      </c>
      <c r="E450" t="str">
        <f>"10469070"</f>
        <v>10469070</v>
      </c>
      <c r="F450" t="str">
        <f t="shared" si="30"/>
        <v>Affy 1.0 ST</v>
      </c>
      <c r="G450" t="str">
        <f>"MGI:1858232"</f>
        <v>MGI:1858232</v>
      </c>
      <c r="H450" t="str">
        <f>"Nudt5"</f>
        <v>Nudt5</v>
      </c>
      <c r="I450" t="str">
        <f>"nudix (nucleoside diphosphate linked moiety X)-type motif 5"</f>
        <v>nudix (nucleoside diphosphate linked moiety X)-type motif 5</v>
      </c>
      <c r="J450" t="str">
        <f>"protein coding gene"</f>
        <v>protein coding gene</v>
      </c>
    </row>
    <row r="451" spans="1:10">
      <c r="A451">
        <v>10381250</v>
      </c>
      <c r="B451">
        <v>2.4935783855800402</v>
      </c>
      <c r="C451">
        <v>0.398208612021064</v>
      </c>
      <c r="E451" t="str">
        <f>"10381250"</f>
        <v>10381250</v>
      </c>
      <c r="F451" t="str">
        <f t="shared" si="30"/>
        <v>Affy 1.0 ST</v>
      </c>
      <c r="G451" t="str">
        <f>"MGI:101834"</f>
        <v>MGI:101834</v>
      </c>
      <c r="H451" t="str">
        <f>"Tubg1"</f>
        <v>Tubg1</v>
      </c>
      <c r="I451" t="s">
        <v>1960</v>
      </c>
      <c r="J451" t="s">
        <v>2010</v>
      </c>
    </row>
    <row r="452" spans="1:10">
      <c r="A452">
        <v>10419779</v>
      </c>
      <c r="B452">
        <v>2.48925284153158</v>
      </c>
      <c r="C452">
        <v>0.80285333680402804</v>
      </c>
      <c r="E452" t="str">
        <f>"10419779"</f>
        <v>10419779</v>
      </c>
      <c r="F452" t="str">
        <f t="shared" si="30"/>
        <v>Affy 1.0 ST</v>
      </c>
      <c r="G452" t="str">
        <f>"MGI:1261794"</f>
        <v>MGI:1261794</v>
      </c>
      <c r="H452" t="str">
        <f>"Haus4"</f>
        <v>Haus4</v>
      </c>
      <c r="I452" t="s">
        <v>2041</v>
      </c>
      <c r="J452" t="s">
        <v>2010</v>
      </c>
    </row>
    <row r="453" spans="1:10">
      <c r="A453">
        <v>10495574</v>
      </c>
      <c r="B453">
        <v>2.4859392958735098</v>
      </c>
      <c r="C453">
        <v>0.54411913452546501</v>
      </c>
      <c r="E453" t="str">
        <f>"10495574"</f>
        <v>10495574</v>
      </c>
      <c r="F453" t="str">
        <f t="shared" si="30"/>
        <v>Affy 1.0 ST</v>
      </c>
      <c r="G453" t="str">
        <f>"MGI:1920026"</f>
        <v>MGI:1920026</v>
      </c>
      <c r="H453" t="str">
        <f>"Sass6"</f>
        <v>Sass6</v>
      </c>
      <c r="I453" t="str">
        <f>"spindle assembly 6 homolog (C. elegans)"</f>
        <v>spindle assembly 6 homolog (C. elegans)</v>
      </c>
      <c r="J453" t="str">
        <f t="shared" ref="J453:J458" si="31">"protein coding gene"</f>
        <v>protein coding gene</v>
      </c>
    </row>
    <row r="454" spans="1:10">
      <c r="A454">
        <v>10590690</v>
      </c>
      <c r="B454">
        <v>2.4851777490002598</v>
      </c>
      <c r="C454">
        <v>0.81778090316036001</v>
      </c>
      <c r="E454" t="str">
        <f>"10590690"</f>
        <v>10590690</v>
      </c>
      <c r="F454" t="str">
        <f t="shared" si="30"/>
        <v>Affy 1.0 ST</v>
      </c>
      <c r="G454" t="str">
        <f>"MGI:107736"</f>
        <v>MGI:107736</v>
      </c>
      <c r="H454" t="str">
        <f>"Dync2h1"</f>
        <v>Dync2h1</v>
      </c>
      <c r="I454" t="str">
        <f>"dynein cytoplasmic 2 heavy chain 1"</f>
        <v>dynein cytoplasmic 2 heavy chain 1</v>
      </c>
      <c r="J454" t="str">
        <f t="shared" si="31"/>
        <v>protein coding gene</v>
      </c>
    </row>
    <row r="455" spans="1:10">
      <c r="A455">
        <v>10409424</v>
      </c>
      <c r="B455">
        <v>2.48451586915413</v>
      </c>
      <c r="C455">
        <v>0.98708903353688804</v>
      </c>
      <c r="E455" t="str">
        <f>"10409424"</f>
        <v>10409424</v>
      </c>
      <c r="F455" t="str">
        <f t="shared" si="30"/>
        <v>Affy 1.0 ST</v>
      </c>
      <c r="G455" t="str">
        <f>"MGI:104987"</f>
        <v>MGI:104987</v>
      </c>
      <c r="H455" t="str">
        <f>"Mxd3"</f>
        <v>Mxd3</v>
      </c>
      <c r="I455" t="str">
        <f>"Max dimerization protein 3"</f>
        <v>Max dimerization protein 3</v>
      </c>
      <c r="J455" t="str">
        <f t="shared" si="31"/>
        <v>protein coding gene</v>
      </c>
    </row>
    <row r="456" spans="1:10">
      <c r="A456">
        <v>10501091</v>
      </c>
      <c r="B456">
        <v>2.48321199337656</v>
      </c>
      <c r="C456">
        <v>0.65246384710397898</v>
      </c>
      <c r="E456" t="str">
        <f>"10501091"</f>
        <v>10501091</v>
      </c>
      <c r="F456" t="str">
        <f t="shared" si="30"/>
        <v>Affy 1.0 ST</v>
      </c>
      <c r="G456" t="str">
        <f>"MGI:2443205"</f>
        <v>MGI:2443205</v>
      </c>
      <c r="H456" t="str">
        <f>"Rbm15"</f>
        <v>Rbm15</v>
      </c>
      <c r="I456" t="str">
        <f>"RNA binding motif protein 15"</f>
        <v>RNA binding motif protein 15</v>
      </c>
      <c r="J456" t="str">
        <f t="shared" si="31"/>
        <v>protein coding gene</v>
      </c>
    </row>
    <row r="457" spans="1:10">
      <c r="A457">
        <v>10478799</v>
      </c>
      <c r="B457">
        <v>2.4806700933755099</v>
      </c>
      <c r="C457">
        <v>0.92857249929285302</v>
      </c>
      <c r="E457" t="str">
        <f>"10478799"</f>
        <v>10478799</v>
      </c>
      <c r="F457" t="str">
        <f t="shared" si="30"/>
        <v>Affy 1.0 ST</v>
      </c>
      <c r="G457" t="str">
        <f>"MGI:1339951"</f>
        <v>MGI:1339951</v>
      </c>
      <c r="H457" t="str">
        <f>"Cse1l"</f>
        <v>Cse1l</v>
      </c>
      <c r="I457" t="str">
        <f>"chromosome segregation 1-like (S. cerevisiae)"</f>
        <v>chromosome segregation 1-like (S. cerevisiae)</v>
      </c>
      <c r="J457" t="str">
        <f t="shared" si="31"/>
        <v>protein coding gene</v>
      </c>
    </row>
    <row r="458" spans="1:10">
      <c r="A458">
        <v>10479765</v>
      </c>
      <c r="B458">
        <v>2.4748152358444502</v>
      </c>
      <c r="C458">
        <v>0.56127510765774302</v>
      </c>
      <c r="E458" t="str">
        <f>"10479765"</f>
        <v>10479765</v>
      </c>
      <c r="F458" t="str">
        <f t="shared" si="30"/>
        <v>Affy 1.0 ST</v>
      </c>
      <c r="G458" t="str">
        <f>"MGI:1890396"</f>
        <v>MGI:1890396</v>
      </c>
      <c r="H458" t="str">
        <f>"Suv39h2"</f>
        <v>Suv39h2</v>
      </c>
      <c r="I458" t="str">
        <f>"suppressor of variegation 3-9 homolog 2 (Drosophila)"</f>
        <v>suppressor of variegation 3-9 homolog 2 (Drosophila)</v>
      </c>
      <c r="J458" t="str">
        <f t="shared" si="31"/>
        <v>protein coding gene</v>
      </c>
    </row>
    <row r="459" spans="1:10">
      <c r="A459">
        <v>10456488</v>
      </c>
      <c r="B459">
        <v>2.4709308142656701</v>
      </c>
      <c r="C459">
        <v>0.70407705165402501</v>
      </c>
      <c r="E459" t="str">
        <f>"10456488"</f>
        <v>10456488</v>
      </c>
      <c r="F459" t="str">
        <f>""</f>
        <v/>
      </c>
      <c r="G459" t="str">
        <f>"No associated gene"</f>
        <v>No associated gene</v>
      </c>
    </row>
    <row r="460" spans="1:10">
      <c r="A460">
        <v>10422854</v>
      </c>
      <c r="B460">
        <v>2.4705337299552701</v>
      </c>
      <c r="C460">
        <v>0.59917062477036298</v>
      </c>
      <c r="E460" t="str">
        <f>"10422854"</f>
        <v>10422854</v>
      </c>
      <c r="F460" t="str">
        <f t="shared" ref="F460:F475" si="32">"Affy 1.0 ST"</f>
        <v>Affy 1.0 ST</v>
      </c>
      <c r="G460" t="str">
        <f>"MGI:2181182"</f>
        <v>MGI:2181182</v>
      </c>
      <c r="H460" t="str">
        <f>"Nup155"</f>
        <v>Nup155</v>
      </c>
      <c r="I460" t="str">
        <f>"nucleoporin 155"</f>
        <v>nucleoporin 155</v>
      </c>
      <c r="J460" t="str">
        <f>"protein coding gene"</f>
        <v>protein coding gene</v>
      </c>
    </row>
    <row r="461" spans="1:10">
      <c r="A461">
        <v>10445308</v>
      </c>
      <c r="B461">
        <v>2.4683057656577598</v>
      </c>
      <c r="C461">
        <v>0.110928828330734</v>
      </c>
      <c r="E461" t="str">
        <f>"10445308"</f>
        <v>10445308</v>
      </c>
      <c r="F461" t="str">
        <f t="shared" si="32"/>
        <v>Affy 1.0 ST</v>
      </c>
      <c r="G461" t="str">
        <f>"MGI:1927096"</f>
        <v>MGI:1927096</v>
      </c>
      <c r="H461" t="str">
        <f>"Cyp39a1"</f>
        <v>Cyp39a1</v>
      </c>
      <c r="I461" t="s">
        <v>2042</v>
      </c>
      <c r="J461" t="s">
        <v>2010</v>
      </c>
    </row>
    <row r="462" spans="1:10">
      <c r="A462">
        <v>10431948</v>
      </c>
      <c r="B462">
        <v>2.4630301421327498</v>
      </c>
      <c r="C462">
        <v>0.51515072713812504</v>
      </c>
      <c r="E462" t="str">
        <f>"10431948"</f>
        <v>10431948</v>
      </c>
      <c r="F462" t="str">
        <f t="shared" si="32"/>
        <v>Affy 1.0 ST</v>
      </c>
      <c r="G462" t="str">
        <f>"MGI:1277218"</f>
        <v>MGI:1277218</v>
      </c>
      <c r="H462" t="str">
        <f>"Rpap3"</f>
        <v>Rpap3</v>
      </c>
      <c r="I462" t="str">
        <f>"RNA polymerase II associated protein 3"</f>
        <v>RNA polymerase II associated protein 3</v>
      </c>
      <c r="J462" t="str">
        <f t="shared" ref="J462:J467" si="33">"protein coding gene"</f>
        <v>protein coding gene</v>
      </c>
    </row>
    <row r="463" spans="1:10">
      <c r="A463">
        <v>10491036</v>
      </c>
      <c r="B463">
        <v>2.4599120466755098</v>
      </c>
      <c r="C463">
        <v>0.903814544823065</v>
      </c>
      <c r="E463" t="str">
        <f>"10491036"</f>
        <v>10491036</v>
      </c>
      <c r="F463" t="str">
        <f t="shared" si="32"/>
        <v>Affy 1.0 ST</v>
      </c>
      <c r="G463" t="str">
        <f>"MGI:1915469"</f>
        <v>MGI:1915469</v>
      </c>
      <c r="H463" t="str">
        <f>"Nudt21"</f>
        <v>Nudt21</v>
      </c>
      <c r="I463" t="str">
        <f>"nudix (nucleoside diphosphate linked moiety X)-type motif 21"</f>
        <v>nudix (nucleoside diphosphate linked moiety X)-type motif 21</v>
      </c>
      <c r="J463" t="str">
        <f t="shared" si="33"/>
        <v>protein coding gene</v>
      </c>
    </row>
    <row r="464" spans="1:10">
      <c r="A464">
        <v>10569181</v>
      </c>
      <c r="B464">
        <v>2.4596345830971198</v>
      </c>
      <c r="C464">
        <v>0.55092874610083598</v>
      </c>
      <c r="E464" t="str">
        <f>"10569181"</f>
        <v>10569181</v>
      </c>
      <c r="F464" t="str">
        <f t="shared" si="32"/>
        <v>Affy 1.0 ST</v>
      </c>
      <c r="G464" t="str">
        <f>"MGI:1889507"</f>
        <v>MGI:1889507</v>
      </c>
      <c r="H464" t="str">
        <f>"Lrdd"</f>
        <v>Lrdd</v>
      </c>
      <c r="I464" t="str">
        <f>"leucine-rich and death domain containing"</f>
        <v>leucine-rich and death domain containing</v>
      </c>
      <c r="J464" t="str">
        <f t="shared" si="33"/>
        <v>protein coding gene</v>
      </c>
    </row>
    <row r="465" spans="1:10">
      <c r="A465">
        <v>10431528</v>
      </c>
      <c r="B465">
        <v>2.45749956128321</v>
      </c>
      <c r="C465">
        <v>0.98819105130570795</v>
      </c>
      <c r="E465" t="str">
        <f>"10431528"</f>
        <v>10431528</v>
      </c>
      <c r="F465" t="str">
        <f t="shared" si="32"/>
        <v>Affy 1.0 ST</v>
      </c>
      <c r="G465" t="str">
        <f>"MGI:2146015"</f>
        <v>MGI:2146015</v>
      </c>
      <c r="H465" t="str">
        <f>"Lmf2"</f>
        <v>Lmf2</v>
      </c>
      <c r="I465" t="str">
        <f>"lipase maturation factor 2"</f>
        <v>lipase maturation factor 2</v>
      </c>
      <c r="J465" t="str">
        <f t="shared" si="33"/>
        <v>protein coding gene</v>
      </c>
    </row>
    <row r="466" spans="1:10">
      <c r="A466">
        <v>10353004</v>
      </c>
      <c r="B466">
        <v>2.4574231348487898</v>
      </c>
      <c r="C466">
        <v>0.33484231790437202</v>
      </c>
      <c r="E466" t="str">
        <f>"10353004"</f>
        <v>10353004</v>
      </c>
      <c r="F466" t="str">
        <f t="shared" si="32"/>
        <v>Affy 1.0 ST</v>
      </c>
      <c r="G466" t="str">
        <f>"MGI:1913447"</f>
        <v>MGI:1913447</v>
      </c>
      <c r="H466" t="str">
        <f>"Cks2"</f>
        <v>Cks2</v>
      </c>
      <c r="I466" t="str">
        <f>"CDC28 protein kinase regulatory subunit 2"</f>
        <v>CDC28 protein kinase regulatory subunit 2</v>
      </c>
      <c r="J466" t="str">
        <f t="shared" si="33"/>
        <v>protein coding gene</v>
      </c>
    </row>
    <row r="467" spans="1:10">
      <c r="A467">
        <v>10445702</v>
      </c>
      <c r="B467">
        <v>2.45309379632796</v>
      </c>
      <c r="C467">
        <v>0.41324216457066398</v>
      </c>
      <c r="E467" t="str">
        <f>"10445702"</f>
        <v>10445702</v>
      </c>
      <c r="F467" t="str">
        <f t="shared" si="32"/>
        <v>Affy 1.0 ST</v>
      </c>
      <c r="G467" t="str">
        <f>"MGI:2685391"</f>
        <v>MGI:2685391</v>
      </c>
      <c r="H467" t="str">
        <f>"Usp49"</f>
        <v>Usp49</v>
      </c>
      <c r="I467" t="str">
        <f>"ubiquitin specific peptidase 49"</f>
        <v>ubiquitin specific peptidase 49</v>
      </c>
      <c r="J467" t="str">
        <f t="shared" si="33"/>
        <v>protein coding gene</v>
      </c>
    </row>
    <row r="468" spans="1:10">
      <c r="A468">
        <v>10548699</v>
      </c>
      <c r="B468">
        <v>2.4528450682473601</v>
      </c>
      <c r="C468">
        <v>0.94239770525237698</v>
      </c>
      <c r="E468" t="str">
        <f>"10548699"</f>
        <v>10548699</v>
      </c>
      <c r="F468" t="str">
        <f t="shared" si="32"/>
        <v>Affy 1.0 ST</v>
      </c>
      <c r="G468" t="str">
        <f>"MGI:3645919"</f>
        <v>MGI:3645919</v>
      </c>
      <c r="H468" t="str">
        <f>"Gm8956"</f>
        <v>Gm8956</v>
      </c>
      <c r="I468" t="str">
        <f>"predicted gene 8956"</f>
        <v>predicted gene 8956</v>
      </c>
      <c r="J468" t="str">
        <f>"pseudogene"</f>
        <v>pseudogene</v>
      </c>
    </row>
    <row r="469" spans="1:10">
      <c r="A469">
        <v>10603431</v>
      </c>
      <c r="B469">
        <v>2.4460811935347002</v>
      </c>
      <c r="C469">
        <v>0.65667419953267503</v>
      </c>
      <c r="E469" t="str">
        <f>"10603431"</f>
        <v>10603431</v>
      </c>
      <c r="F469" t="str">
        <f t="shared" si="32"/>
        <v>Affy 1.0 ST</v>
      </c>
      <c r="G469" t="str">
        <f>"MGI:1099440"</f>
        <v>MGI:1099440</v>
      </c>
      <c r="H469" t="str">
        <f>"Suv39h1"</f>
        <v>Suv39h1</v>
      </c>
      <c r="I469" t="str">
        <f>"suppressor of variegation 3-9 homolog 1 (Drosophila)"</f>
        <v>suppressor of variegation 3-9 homolog 1 (Drosophila)</v>
      </c>
      <c r="J469" t="str">
        <f t="shared" ref="J469:J475" si="34">"protein coding gene"</f>
        <v>protein coding gene</v>
      </c>
    </row>
    <row r="470" spans="1:10">
      <c r="A470">
        <v>10549171</v>
      </c>
      <c r="B470">
        <v>2.43568114126268</v>
      </c>
      <c r="C470">
        <v>0.15303495764016001</v>
      </c>
      <c r="E470" t="str">
        <f>"10549171"</f>
        <v>10549171</v>
      </c>
      <c r="F470" t="str">
        <f t="shared" si="32"/>
        <v>Affy 1.0 ST</v>
      </c>
      <c r="G470" t="str">
        <f>"MGI:1921991"</f>
        <v>MGI:1921991</v>
      </c>
      <c r="H470" t="str">
        <f>"5730419I09Rik"</f>
        <v>5730419I09Rik</v>
      </c>
      <c r="I470" t="str">
        <f>"RIKEN cDNA 5730419I09 gene"</f>
        <v>RIKEN cDNA 5730419I09 gene</v>
      </c>
      <c r="J470" t="str">
        <f t="shared" si="34"/>
        <v>protein coding gene</v>
      </c>
    </row>
    <row r="471" spans="1:10">
      <c r="A471">
        <v>10525733</v>
      </c>
      <c r="B471">
        <v>2.43491216515838</v>
      </c>
      <c r="C471">
        <v>0.71612142246658095</v>
      </c>
      <c r="E471" t="str">
        <f>"10525733"</f>
        <v>10525733</v>
      </c>
      <c r="F471" t="str">
        <f t="shared" si="32"/>
        <v>Affy 1.0 ST</v>
      </c>
      <c r="G471" t="str">
        <f>"MGI:1915206"</f>
        <v>MGI:1915206</v>
      </c>
      <c r="H471" t="str">
        <f>"Setd8"</f>
        <v>Setd8</v>
      </c>
      <c r="I471" t="str">
        <f>"SET domain containing (lysine methyltransferase) 8"</f>
        <v>SET domain containing (lysine methyltransferase) 8</v>
      </c>
      <c r="J471" t="str">
        <f t="shared" si="34"/>
        <v>protein coding gene</v>
      </c>
    </row>
    <row r="472" spans="1:10">
      <c r="A472">
        <v>10344939</v>
      </c>
      <c r="B472">
        <v>2.4347495615420498</v>
      </c>
      <c r="C472">
        <v>0.59381017523497603</v>
      </c>
      <c r="E472" t="str">
        <f>"10344939"</f>
        <v>10344939</v>
      </c>
      <c r="F472" t="str">
        <f t="shared" si="32"/>
        <v>Affy 1.0 ST</v>
      </c>
      <c r="G472" t="str">
        <f>"MGI:109634"</f>
        <v>MGI:109634</v>
      </c>
      <c r="H472" t="str">
        <f>"Terf1"</f>
        <v>Terf1</v>
      </c>
      <c r="I472" t="str">
        <f>"telomeric repeat binding factor 1"</f>
        <v>telomeric repeat binding factor 1</v>
      </c>
      <c r="J472" t="str">
        <f t="shared" si="34"/>
        <v>protein coding gene</v>
      </c>
    </row>
    <row r="473" spans="1:10">
      <c r="A473">
        <v>10428561</v>
      </c>
      <c r="B473">
        <v>2.4318504198378199</v>
      </c>
      <c r="C473">
        <v>0.66713325558209102</v>
      </c>
      <c r="E473" t="str">
        <f>"10428561"</f>
        <v>10428561</v>
      </c>
      <c r="F473" t="str">
        <f t="shared" si="32"/>
        <v>Affy 1.0 ST</v>
      </c>
      <c r="G473" t="str">
        <f>"MGI:108016"</f>
        <v>MGI:108016</v>
      </c>
      <c r="H473" t="str">
        <f>"Rad21"</f>
        <v>Rad21</v>
      </c>
      <c r="I473" t="str">
        <f>"RAD21 homolog (S. pombe)"</f>
        <v>RAD21 homolog (S. pombe)</v>
      </c>
      <c r="J473" t="str">
        <f t="shared" si="34"/>
        <v>protein coding gene</v>
      </c>
    </row>
    <row r="474" spans="1:10">
      <c r="A474">
        <v>10560304</v>
      </c>
      <c r="B474">
        <v>2.4304848269511701</v>
      </c>
      <c r="C474">
        <v>0.43493095382969998</v>
      </c>
      <c r="E474" t="str">
        <f>"10560304"</f>
        <v>10560304</v>
      </c>
      <c r="F474" t="str">
        <f t="shared" si="32"/>
        <v>Affy 1.0 ST</v>
      </c>
      <c r="G474" t="str">
        <f>"MGI:103249"</f>
        <v>MGI:103249</v>
      </c>
      <c r="H474" t="str">
        <f>"Calm3"</f>
        <v>Calm3</v>
      </c>
      <c r="I474" t="str">
        <f>"calmodulin 3"</f>
        <v>calmodulin 3</v>
      </c>
      <c r="J474" t="str">
        <f t="shared" si="34"/>
        <v>protein coding gene</v>
      </c>
    </row>
    <row r="475" spans="1:10">
      <c r="A475">
        <v>10592289</v>
      </c>
      <c r="B475">
        <v>2.4279027270047302</v>
      </c>
      <c r="C475">
        <v>0.40809246063761601</v>
      </c>
      <c r="E475" t="str">
        <f>"10592289"</f>
        <v>10592289</v>
      </c>
      <c r="F475" t="str">
        <f t="shared" si="32"/>
        <v>Affy 1.0 ST</v>
      </c>
      <c r="G475" t="str">
        <f>"MGI:2444488"</f>
        <v>MGI:2444488</v>
      </c>
      <c r="H475" t="str">
        <f>"Ccdc15"</f>
        <v>Ccdc15</v>
      </c>
      <c r="I475" t="str">
        <f>"coiled-coil domain containing 15"</f>
        <v>coiled-coil domain containing 15</v>
      </c>
      <c r="J475" t="str">
        <f t="shared" si="34"/>
        <v>protein coding gene</v>
      </c>
    </row>
    <row r="476" spans="1:10">
      <c r="A476">
        <v>10340843</v>
      </c>
      <c r="B476">
        <v>2.4200676620706898</v>
      </c>
      <c r="C476">
        <v>0.62829535129553404</v>
      </c>
      <c r="E476" t="str">
        <f>"10340843"</f>
        <v>10340843</v>
      </c>
      <c r="F476" t="str">
        <f>""</f>
        <v/>
      </c>
      <c r="G476" t="str">
        <f>"No associated gene"</f>
        <v>No associated gene</v>
      </c>
    </row>
    <row r="477" spans="1:10">
      <c r="A477">
        <v>10450957</v>
      </c>
      <c r="B477">
        <v>2.4177553882395801</v>
      </c>
      <c r="C477">
        <v>0.302238309492184</v>
      </c>
      <c r="E477" t="str">
        <f>"10450957"</f>
        <v>10450957</v>
      </c>
      <c r="F477" t="str">
        <f>"Affy 1.0 ST"</f>
        <v>Affy 1.0 ST</v>
      </c>
      <c r="G477" t="str">
        <f>"MGI:1933744"</f>
        <v>MGI:1933744</v>
      </c>
      <c r="H477" t="str">
        <f>"Cenpq"</f>
        <v>Cenpq</v>
      </c>
      <c r="I477" t="str">
        <f>"centromere protein Q"</f>
        <v>centromere protein Q</v>
      </c>
      <c r="J477" t="str">
        <f>"protein coding gene"</f>
        <v>protein coding gene</v>
      </c>
    </row>
    <row r="478" spans="1:10">
      <c r="A478">
        <v>10338687</v>
      </c>
      <c r="B478">
        <v>2.4155615582631902</v>
      </c>
      <c r="C478">
        <v>0.30316406757423597</v>
      </c>
      <c r="E478" t="str">
        <f>"10338687"</f>
        <v>10338687</v>
      </c>
      <c r="F478" t="str">
        <f>""</f>
        <v/>
      </c>
      <c r="G478" t="str">
        <f>"No associated gene"</f>
        <v>No associated gene</v>
      </c>
    </row>
    <row r="479" spans="1:10">
      <c r="A479">
        <v>10598794</v>
      </c>
      <c r="B479">
        <v>2.4107216419676898</v>
      </c>
      <c r="C479">
        <v>0.48182604174736399</v>
      </c>
      <c r="E479" t="str">
        <f>"10598794"</f>
        <v>10598794</v>
      </c>
      <c r="F479" t="str">
        <f>""</f>
        <v/>
      </c>
      <c r="G479" t="str">
        <f>"No associated gene"</f>
        <v>No associated gene</v>
      </c>
    </row>
    <row r="480" spans="1:10">
      <c r="A480">
        <v>10429968</v>
      </c>
      <c r="B480">
        <v>2.4076829985927599</v>
      </c>
      <c r="C480">
        <v>0.75483062216418295</v>
      </c>
      <c r="E480" t="str">
        <f>"10429968"</f>
        <v>10429968</v>
      </c>
      <c r="F480" t="str">
        <f>""</f>
        <v/>
      </c>
      <c r="G480" t="str">
        <f>"No associated gene"</f>
        <v>No associated gene</v>
      </c>
    </row>
    <row r="481" spans="1:10">
      <c r="A481">
        <v>10365420</v>
      </c>
      <c r="B481">
        <v>2.40444526338467</v>
      </c>
      <c r="C481">
        <v>0.58688360345825696</v>
      </c>
      <c r="E481" t="str">
        <f>"10365420"</f>
        <v>10365420</v>
      </c>
      <c r="F481" t="str">
        <f>"Affy 1.0 ST"</f>
        <v>Affy 1.0 ST</v>
      </c>
      <c r="G481" t="str">
        <f>"MGI:2143652"</f>
        <v>MGI:2143652</v>
      </c>
      <c r="H481" t="str">
        <f>"AI597468"</f>
        <v>AI597468</v>
      </c>
      <c r="I481" t="str">
        <f>"expressed sequence AI597468"</f>
        <v>expressed sequence AI597468</v>
      </c>
      <c r="J481" t="str">
        <f>"protein coding gene"</f>
        <v>protein coding gene</v>
      </c>
    </row>
    <row r="482" spans="1:10">
      <c r="A482">
        <v>10386236</v>
      </c>
      <c r="B482">
        <v>2.4019257494661899</v>
      </c>
      <c r="C482">
        <v>0.400175540778826</v>
      </c>
      <c r="E482" t="str">
        <f>"10386236"</f>
        <v>10386236</v>
      </c>
      <c r="F482" t="str">
        <f>"Affy 1.0 ST"</f>
        <v>Affy 1.0 ST</v>
      </c>
      <c r="G482" t="str">
        <f>"MGI:1922442"</f>
        <v>MGI:1922442</v>
      </c>
      <c r="H482" t="str">
        <f>"Hist3h2bb-ps"</f>
        <v>Hist3h2bb-ps</v>
      </c>
      <c r="I482" t="s">
        <v>2043</v>
      </c>
      <c r="J482" t="s">
        <v>2015</v>
      </c>
    </row>
    <row r="483" spans="1:10">
      <c r="A483">
        <v>10548176</v>
      </c>
      <c r="B483">
        <v>2.4016905737654999</v>
      </c>
      <c r="C483">
        <v>0.48712842611790802</v>
      </c>
      <c r="E483" t="str">
        <f>"10548176"</f>
        <v>10548176</v>
      </c>
      <c r="F483" t="str">
        <f>"Affy 1.0 ST"</f>
        <v>Affy 1.0 ST</v>
      </c>
      <c r="G483" t="str">
        <f>"MGI:1915315"</f>
        <v>MGI:1915315</v>
      </c>
      <c r="H483" t="str">
        <f>"5930416I19Rik"</f>
        <v>5930416I19Rik</v>
      </c>
      <c r="I483" t="str">
        <f>"RIKEN cDNA 5930416I19 gene"</f>
        <v>RIKEN cDNA 5930416I19 gene</v>
      </c>
      <c r="J483" t="str">
        <f>"protein coding gene"</f>
        <v>protein coding gene</v>
      </c>
    </row>
    <row r="484" spans="1:10">
      <c r="A484">
        <v>10591035</v>
      </c>
      <c r="B484">
        <v>2.3997066318840199</v>
      </c>
      <c r="C484">
        <v>0.50985707055197405</v>
      </c>
      <c r="E484" t="str">
        <f>"10591035"</f>
        <v>10591035</v>
      </c>
      <c r="F484" t="str">
        <f>"Affy 1.0 ST"</f>
        <v>Affy 1.0 ST</v>
      </c>
      <c r="G484" t="str">
        <f>"MGI:2442521"</f>
        <v>MGI:2442521</v>
      </c>
      <c r="H484" t="str">
        <f>"5830418K08Rik"</f>
        <v>5830418K08Rik</v>
      </c>
      <c r="I484" t="str">
        <f>"RIKEN cDNA 5830418K08 gene"</f>
        <v>RIKEN cDNA 5830418K08 gene</v>
      </c>
      <c r="J484" t="str">
        <f>"protein coding gene"</f>
        <v>protein coding gene</v>
      </c>
    </row>
    <row r="485" spans="1:10">
      <c r="A485">
        <v>10342068</v>
      </c>
      <c r="B485">
        <v>2.3921274761651099</v>
      </c>
      <c r="C485">
        <v>0.308873958689587</v>
      </c>
      <c r="E485" t="str">
        <f>"10342068"</f>
        <v>10342068</v>
      </c>
      <c r="F485" t="str">
        <f>""</f>
        <v/>
      </c>
      <c r="G485" t="str">
        <f>"No associated gene"</f>
        <v>No associated gene</v>
      </c>
    </row>
    <row r="486" spans="1:10">
      <c r="A486">
        <v>10491835</v>
      </c>
      <c r="B486">
        <v>2.37818888080339</v>
      </c>
      <c r="C486">
        <v>0.223696641296317</v>
      </c>
      <c r="E486" t="str">
        <f>"10491835"</f>
        <v>10491835</v>
      </c>
      <c r="F486" t="str">
        <f>"Affy 1.0 ST"</f>
        <v>Affy 1.0 ST</v>
      </c>
      <c r="G486" t="str">
        <f>"MGI:1914604"</f>
        <v>MGI:1914604</v>
      </c>
      <c r="H486" t="str">
        <f>"Larp1b"</f>
        <v>Larp1b</v>
      </c>
      <c r="I486" t="s">
        <v>1964</v>
      </c>
      <c r="J486" t="s">
        <v>2010</v>
      </c>
    </row>
    <row r="487" spans="1:10">
      <c r="A487">
        <v>10455483</v>
      </c>
      <c r="B487">
        <v>2.3762004143225699</v>
      </c>
      <c r="C487">
        <v>0.49417314589658801</v>
      </c>
      <c r="E487" t="str">
        <f>"10455483"</f>
        <v>10455483</v>
      </c>
      <c r="F487" t="str">
        <f>"Affy 1.0 ST"</f>
        <v>Affy 1.0 ST</v>
      </c>
      <c r="G487" t="str">
        <f>"MGI:2448561"</f>
        <v>MGI:2448561</v>
      </c>
      <c r="H487" t="str">
        <f>"Ythdc2"</f>
        <v>Ythdc2</v>
      </c>
      <c r="I487" t="str">
        <f>"YTH domain containing 2"</f>
        <v>YTH domain containing 2</v>
      </c>
      <c r="J487" t="str">
        <f>"protein coding gene"</f>
        <v>protein coding gene</v>
      </c>
    </row>
    <row r="488" spans="1:10">
      <c r="A488">
        <v>10585129</v>
      </c>
      <c r="B488">
        <v>2.3754376505051802</v>
      </c>
      <c r="C488">
        <v>0.45503319790450197</v>
      </c>
      <c r="E488" t="str">
        <f>"10585129"</f>
        <v>10585129</v>
      </c>
      <c r="F488" t="str">
        <f>"Affy 1.0 ST"</f>
        <v>Affy 1.0 ST</v>
      </c>
      <c r="G488" t="str">
        <f>"MGI:1349478"</f>
        <v>MGI:1349478</v>
      </c>
      <c r="H488" t="str">
        <f>"Zw10"</f>
        <v>Zw10</v>
      </c>
      <c r="I488" t="s">
        <v>1965</v>
      </c>
      <c r="J488" t="s">
        <v>2010</v>
      </c>
    </row>
    <row r="489" spans="1:10">
      <c r="A489">
        <v>10563657</v>
      </c>
      <c r="B489">
        <v>2.3715629503801301</v>
      </c>
      <c r="C489">
        <v>0.46593632298700099</v>
      </c>
      <c r="E489" t="str">
        <f>"10563657"</f>
        <v>10563657</v>
      </c>
      <c r="F489" t="str">
        <f>""</f>
        <v/>
      </c>
      <c r="G489" t="str">
        <f>"No associated gene"</f>
        <v>No associated gene</v>
      </c>
    </row>
    <row r="490" spans="1:10">
      <c r="A490">
        <v>10490872</v>
      </c>
      <c r="B490">
        <v>2.36732411058841</v>
      </c>
      <c r="C490">
        <v>0.53366911653341398</v>
      </c>
      <c r="E490" t="str">
        <f>"10490872"</f>
        <v>10490872</v>
      </c>
      <c r="F490" t="str">
        <f t="shared" ref="F490:F504" si="35">"Affy 1.0 ST"</f>
        <v>Affy 1.0 ST</v>
      </c>
      <c r="G490" t="str">
        <f>"MGI:1918960"</f>
        <v>MGI:1918960</v>
      </c>
      <c r="H490" t="str">
        <f>"Lrrcc1"</f>
        <v>Lrrcc1</v>
      </c>
      <c r="I490" t="str">
        <f>"leucine rich repeat and coiled-coil domain containing 1"</f>
        <v>leucine rich repeat and coiled-coil domain containing 1</v>
      </c>
      <c r="J490" t="str">
        <f>"protein coding gene"</f>
        <v>protein coding gene</v>
      </c>
    </row>
    <row r="491" spans="1:10">
      <c r="A491">
        <v>10542006</v>
      </c>
      <c r="B491">
        <v>2.3669075011939</v>
      </c>
      <c r="C491">
        <v>0.47473684473178701</v>
      </c>
      <c r="E491" t="str">
        <f>"10542006"</f>
        <v>10542006</v>
      </c>
      <c r="F491" t="str">
        <f t="shared" si="35"/>
        <v>Affy 1.0 ST</v>
      </c>
      <c r="G491" t="str">
        <f>"MGI:107893"</f>
        <v>MGI:107893</v>
      </c>
      <c r="H491" t="str">
        <f>"D6Wsu163e"</f>
        <v>D6Wsu163e</v>
      </c>
      <c r="I491" t="s">
        <v>1966</v>
      </c>
      <c r="J491" t="s">
        <v>2010</v>
      </c>
    </row>
    <row r="492" spans="1:10">
      <c r="A492">
        <v>10599893</v>
      </c>
      <c r="B492">
        <v>2.3622415636222098</v>
      </c>
      <c r="C492">
        <v>0.125868465083255</v>
      </c>
      <c r="E492" t="str">
        <f>"10599893"</f>
        <v>10599893</v>
      </c>
      <c r="F492" t="str">
        <f t="shared" si="35"/>
        <v>Affy 1.0 ST</v>
      </c>
      <c r="G492" t="str">
        <f>"MGI:95564"</f>
        <v>MGI:95564</v>
      </c>
      <c r="H492" t="str">
        <f>"Fmr1"</f>
        <v>Fmr1</v>
      </c>
      <c r="I492" t="str">
        <f>"fragile X mental retardation syndrome 1 homolog"</f>
        <v>fragile X mental retardation syndrome 1 homolog</v>
      </c>
      <c r="J492" t="str">
        <f>"protein coding gene"</f>
        <v>protein coding gene</v>
      </c>
    </row>
    <row r="493" spans="1:10">
      <c r="A493">
        <v>10483770</v>
      </c>
      <c r="B493">
        <v>2.3546792758190702</v>
      </c>
      <c r="C493">
        <v>0.59022817190147803</v>
      </c>
      <c r="E493" t="str">
        <f>"10483770"</f>
        <v>10483770</v>
      </c>
      <c r="F493" t="str">
        <f t="shared" si="35"/>
        <v>Affy 1.0 ST</v>
      </c>
      <c r="G493" t="str">
        <f>"MGI:1918115"</f>
        <v>MGI:1918115</v>
      </c>
      <c r="H493" t="str">
        <f>"Lnp"</f>
        <v>Lnp</v>
      </c>
      <c r="I493" t="str">
        <f>"limb and neural patterns"</f>
        <v>limb and neural patterns</v>
      </c>
      <c r="J493" t="str">
        <f>"protein coding gene"</f>
        <v>protein coding gene</v>
      </c>
    </row>
    <row r="494" spans="1:10">
      <c r="A494">
        <v>10580590</v>
      </c>
      <c r="B494">
        <v>2.35196268820604</v>
      </c>
      <c r="C494">
        <v>0.35615641145856902</v>
      </c>
      <c r="E494" t="str">
        <f>"10580590"</f>
        <v>10580590</v>
      </c>
      <c r="F494" t="str">
        <f t="shared" si="35"/>
        <v>Affy 1.0 ST</v>
      </c>
      <c r="G494" t="str">
        <f>"MGI:95640"</f>
        <v>MGI:95640</v>
      </c>
      <c r="H494" t="str">
        <f>"Gapdh"</f>
        <v>Gapdh</v>
      </c>
      <c r="I494" t="str">
        <f>"glyceraldehyde-3-phosphate dehydrogenase"</f>
        <v>glyceraldehyde-3-phosphate dehydrogenase</v>
      </c>
      <c r="J494" t="str">
        <f>"protein coding gene"</f>
        <v>protein coding gene</v>
      </c>
    </row>
    <row r="495" spans="1:10">
      <c r="A495">
        <v>10408266</v>
      </c>
      <c r="B495">
        <v>2.3498420311542398</v>
      </c>
      <c r="C495">
        <v>0.59853670473209697</v>
      </c>
      <c r="E495" t="str">
        <f>"10408266"</f>
        <v>10408266</v>
      </c>
      <c r="F495" t="str">
        <f t="shared" si="35"/>
        <v>Affy 1.0 ST</v>
      </c>
      <c r="G495" t="str">
        <f>"MGI:2448375"</f>
        <v>MGI:2448375</v>
      </c>
      <c r="H495" t="str">
        <f>"Hist1h2ba"</f>
        <v>Hist1h2ba</v>
      </c>
      <c r="I495" t="s">
        <v>1967</v>
      </c>
      <c r="J495" t="s">
        <v>2010</v>
      </c>
    </row>
    <row r="496" spans="1:10">
      <c r="A496">
        <v>10352267</v>
      </c>
      <c r="B496">
        <v>2.3496464432373898</v>
      </c>
      <c r="C496">
        <v>0.24671794595795701</v>
      </c>
      <c r="E496" t="str">
        <f>"10352267"</f>
        <v>10352267</v>
      </c>
      <c r="F496" t="str">
        <f t="shared" si="35"/>
        <v>Affy 1.0 ST</v>
      </c>
      <c r="G496" t="str">
        <f>"MGI:1919818"</f>
        <v>MGI:1919818</v>
      </c>
      <c r="H496" t="str">
        <f>"Lin9"</f>
        <v>Lin9</v>
      </c>
      <c r="I496" t="str">
        <f>"lin-9 homolog (C. elegans)"</f>
        <v>lin-9 homolog (C. elegans)</v>
      </c>
      <c r="J496" t="str">
        <f>"protein coding gene"</f>
        <v>protein coding gene</v>
      </c>
    </row>
    <row r="497" spans="1:10">
      <c r="A497">
        <v>10607524</v>
      </c>
      <c r="B497">
        <v>2.3473014587513799</v>
      </c>
      <c r="C497">
        <v>0.76479129943333002</v>
      </c>
      <c r="E497" t="str">
        <f>"10607524"</f>
        <v>10607524</v>
      </c>
      <c r="F497" t="str">
        <f t="shared" si="35"/>
        <v>Affy 1.0 ST</v>
      </c>
      <c r="G497" t="str">
        <f>"MGI:109490"</f>
        <v>MGI:109490</v>
      </c>
      <c r="H497" t="str">
        <f>"Sms"</f>
        <v>Sms</v>
      </c>
      <c r="I497" t="str">
        <f>"spermine synthase"</f>
        <v>spermine synthase</v>
      </c>
      <c r="J497" t="str">
        <f>"protein coding gene"</f>
        <v>protein coding gene</v>
      </c>
    </row>
    <row r="498" spans="1:10">
      <c r="A498">
        <v>10426225</v>
      </c>
      <c r="B498">
        <v>2.34610111410035</v>
      </c>
      <c r="C498">
        <v>0.39865514233056698</v>
      </c>
      <c r="E498" t="str">
        <f>"10426225"</f>
        <v>10426225</v>
      </c>
      <c r="F498" t="str">
        <f t="shared" si="35"/>
        <v>Affy 1.0 ST</v>
      </c>
      <c r="G498" t="str">
        <f>"MGI:1289164"</f>
        <v>MGI:1289164</v>
      </c>
      <c r="H498" t="str">
        <f>"Ncaph2"</f>
        <v>Ncaph2</v>
      </c>
      <c r="I498" t="s">
        <v>1968</v>
      </c>
      <c r="J498" t="s">
        <v>2010</v>
      </c>
    </row>
    <row r="499" spans="1:10">
      <c r="A499">
        <v>10600797</v>
      </c>
      <c r="B499">
        <v>2.3431473644521499</v>
      </c>
      <c r="C499">
        <v>0.72963734601024899</v>
      </c>
      <c r="E499" t="str">
        <f>"10600797"</f>
        <v>10600797</v>
      </c>
      <c r="F499" t="str">
        <f t="shared" si="35"/>
        <v>Affy 1.0 ST</v>
      </c>
      <c r="G499" t="str">
        <f>"MGI:3649039"</f>
        <v>MGI:3649039</v>
      </c>
      <c r="H499" t="str">
        <f>"Apoo-ps"</f>
        <v>Apoo-ps</v>
      </c>
      <c r="I499" t="s">
        <v>1969</v>
      </c>
      <c r="J499" t="s">
        <v>2015</v>
      </c>
    </row>
    <row r="500" spans="1:10">
      <c r="A500">
        <v>10507286</v>
      </c>
      <c r="B500">
        <v>2.33822549748393</v>
      </c>
      <c r="C500">
        <v>0.36406444279580802</v>
      </c>
      <c r="E500" t="str">
        <f>"10507286"</f>
        <v>10507286</v>
      </c>
      <c r="F500" t="str">
        <f t="shared" si="35"/>
        <v>Affy 1.0 ST</v>
      </c>
      <c r="G500" t="str">
        <f>"MGI:96581"</f>
        <v>MGI:96581</v>
      </c>
      <c r="H500" t="str">
        <f>"Ipp"</f>
        <v>Ipp</v>
      </c>
      <c r="I500" t="str">
        <f>"IAP promoted placental gene"</f>
        <v>IAP promoted placental gene</v>
      </c>
      <c r="J500" t="str">
        <f>"protein coding gene"</f>
        <v>protein coding gene</v>
      </c>
    </row>
    <row r="501" spans="1:10">
      <c r="A501">
        <v>10405063</v>
      </c>
      <c r="B501">
        <v>2.3373473849507</v>
      </c>
      <c r="C501">
        <v>0.66093735301243495</v>
      </c>
      <c r="E501" t="str">
        <f>"10405063"</f>
        <v>10405063</v>
      </c>
      <c r="F501" t="str">
        <f t="shared" si="35"/>
        <v>Affy 1.0 ST</v>
      </c>
      <c r="G501" t="str">
        <f>"MGI:109278"</f>
        <v>MGI:109278</v>
      </c>
      <c r="H501" t="str">
        <f>"Ogn"</f>
        <v>Ogn</v>
      </c>
      <c r="I501" t="str">
        <f>"osteoglycin"</f>
        <v>osteoglycin</v>
      </c>
      <c r="J501" t="str">
        <f>"protein coding gene"</f>
        <v>protein coding gene</v>
      </c>
    </row>
    <row r="502" spans="1:10">
      <c r="A502">
        <v>10492558</v>
      </c>
      <c r="B502">
        <v>2.3341168919000301</v>
      </c>
      <c r="C502">
        <v>0.66190127308559099</v>
      </c>
      <c r="E502" t="str">
        <f>"10492558"</f>
        <v>10492558</v>
      </c>
      <c r="F502" t="str">
        <f t="shared" si="35"/>
        <v>Affy 1.0 ST</v>
      </c>
      <c r="G502" t="str">
        <f>"MGI:1917349"</f>
        <v>MGI:1917349</v>
      </c>
      <c r="H502" t="str">
        <f>"Smc4"</f>
        <v>Smc4</v>
      </c>
      <c r="I502" t="str">
        <f>"structural maintenance of chromosomes 4"</f>
        <v>structural maintenance of chromosomes 4</v>
      </c>
      <c r="J502" t="str">
        <f>"protein coding gene"</f>
        <v>protein coding gene</v>
      </c>
    </row>
    <row r="503" spans="1:10">
      <c r="A503">
        <v>10466818</v>
      </c>
      <c r="B503">
        <v>2.3337083910545999</v>
      </c>
      <c r="C503">
        <v>0.244782379276171</v>
      </c>
      <c r="E503" t="str">
        <f>"10466818"</f>
        <v>10466818</v>
      </c>
      <c r="F503" t="str">
        <f t="shared" si="35"/>
        <v>Affy 1.0 ST</v>
      </c>
      <c r="G503" t="str">
        <f>"MGI:2385089"</f>
        <v>MGI:2385089</v>
      </c>
      <c r="H503" t="str">
        <f>"Cbwd1"</f>
        <v>Cbwd1</v>
      </c>
      <c r="I503" t="str">
        <f>"COBW domain containing 1"</f>
        <v>COBW domain containing 1</v>
      </c>
      <c r="J503" t="str">
        <f>"protein coding gene"</f>
        <v>protein coding gene</v>
      </c>
    </row>
    <row r="504" spans="1:10">
      <c r="A504">
        <v>10446441</v>
      </c>
      <c r="B504">
        <v>2.3299714609042201</v>
      </c>
      <c r="C504">
        <v>0.55697008176465601</v>
      </c>
      <c r="E504" t="str">
        <f>"10446441"</f>
        <v>10446441</v>
      </c>
      <c r="F504" t="str">
        <f t="shared" si="35"/>
        <v>Affy 1.0 ST</v>
      </c>
      <c r="G504" t="str">
        <f>"MGI:2443590"</f>
        <v>MGI:2443590</v>
      </c>
      <c r="H504" t="str">
        <f>"Ddx11"</f>
        <v>Ddx11</v>
      </c>
      <c r="I504" t="s">
        <v>1892</v>
      </c>
      <c r="J504" t="s">
        <v>2010</v>
      </c>
    </row>
    <row r="505" spans="1:10">
      <c r="A505">
        <v>10514383</v>
      </c>
      <c r="B505">
        <v>2.3299617326078899</v>
      </c>
      <c r="C505">
        <v>0.48908157314238598</v>
      </c>
      <c r="E505" t="str">
        <f>"10514383"</f>
        <v>10514383</v>
      </c>
      <c r="F505" t="str">
        <f>""</f>
        <v/>
      </c>
      <c r="G505" t="str">
        <f>"No associated gene"</f>
        <v>No associated gene</v>
      </c>
    </row>
    <row r="506" spans="1:10">
      <c r="A506">
        <v>10538282</v>
      </c>
      <c r="B506">
        <v>2.3291776724483402</v>
      </c>
      <c r="C506">
        <v>0.78971722090110497</v>
      </c>
      <c r="E506" t="str">
        <f>"10538282"</f>
        <v>10538282</v>
      </c>
      <c r="F506" t="str">
        <f>"Affy 1.0 ST"</f>
        <v>Affy 1.0 ST</v>
      </c>
      <c r="G506" t="str">
        <f>"MGI:108515"</f>
        <v>MGI:108515</v>
      </c>
      <c r="H506" t="str">
        <f>"Cbx3"</f>
        <v>Cbx3</v>
      </c>
      <c r="I506" t="str">
        <f>"chromobox homolog 3 (Drosophila HP1 gamma)"</f>
        <v>chromobox homolog 3 (Drosophila HP1 gamma)</v>
      </c>
      <c r="J506" t="str">
        <f>"protein coding gene"</f>
        <v>protein coding gene</v>
      </c>
    </row>
    <row r="507" spans="1:10">
      <c r="A507">
        <v>10410207</v>
      </c>
      <c r="B507">
        <v>2.32765314602142</v>
      </c>
      <c r="C507">
        <v>0.485110147379537</v>
      </c>
      <c r="E507" t="str">
        <f>"10410207"</f>
        <v>10410207</v>
      </c>
      <c r="F507" t="str">
        <f>"Affy 1.0 ST"</f>
        <v>Affy 1.0 ST</v>
      </c>
      <c r="G507" t="str">
        <f>"MGI:108515"</f>
        <v>MGI:108515</v>
      </c>
      <c r="H507" t="str">
        <f>"Cbx3"</f>
        <v>Cbx3</v>
      </c>
      <c r="I507" t="str">
        <f>"chromobox homolog 3 (Drosophila HP1 gamma)"</f>
        <v>chromobox homolog 3 (Drosophila HP1 gamma)</v>
      </c>
      <c r="J507" t="str">
        <f>"protein coding gene"</f>
        <v>protein coding gene</v>
      </c>
    </row>
    <row r="508" spans="1:10">
      <c r="A508">
        <v>10342811</v>
      </c>
      <c r="B508">
        <v>2.3211562625969799</v>
      </c>
      <c r="C508">
        <v>0.52481865282239304</v>
      </c>
      <c r="E508" t="str">
        <f>"10342811"</f>
        <v>10342811</v>
      </c>
      <c r="F508" t="str">
        <f>""</f>
        <v/>
      </c>
      <c r="G508" t="str">
        <f>"No associated gene"</f>
        <v>No associated gene</v>
      </c>
    </row>
    <row r="509" spans="1:10">
      <c r="A509">
        <v>10567851</v>
      </c>
      <c r="B509">
        <v>2.3108372723456698</v>
      </c>
      <c r="C509">
        <v>9.2427681622563707E-2</v>
      </c>
      <c r="E509" t="str">
        <f>"10567851"</f>
        <v>10567851</v>
      </c>
      <c r="F509" t="str">
        <f t="shared" ref="F509:F517" si="36">"Affy 1.0 ST"</f>
        <v>Affy 1.0 ST</v>
      </c>
      <c r="G509" t="str">
        <f>"MGI:1329015"</f>
        <v>MGI:1329015</v>
      </c>
      <c r="H509" t="str">
        <f>"Nfatc2ip"</f>
        <v>Nfatc2ip</v>
      </c>
      <c r="I509" t="s">
        <v>1893</v>
      </c>
      <c r="J509" t="s">
        <v>2010</v>
      </c>
    </row>
    <row r="510" spans="1:10">
      <c r="A510">
        <v>10425559</v>
      </c>
      <c r="B510">
        <v>2.31064105595827</v>
      </c>
      <c r="C510">
        <v>0.32369213332261298</v>
      </c>
      <c r="E510" t="str">
        <f>"10425559"</f>
        <v>10425559</v>
      </c>
      <c r="F510" t="str">
        <f t="shared" si="36"/>
        <v>Affy 1.0 ST</v>
      </c>
      <c r="G510" t="str">
        <f>"MGI:2443584"</f>
        <v>MGI:2443584</v>
      </c>
      <c r="H510" t="str">
        <f>"L3mbtl2"</f>
        <v>L3mbtl2</v>
      </c>
      <c r="I510" t="str">
        <f>"l(3)mbt-like 2 (Drosophila)"</f>
        <v>l(3)mbt-like 2 (Drosophila)</v>
      </c>
      <c r="J510" t="str">
        <f>"protein coding gene"</f>
        <v>protein coding gene</v>
      </c>
    </row>
    <row r="511" spans="1:10">
      <c r="A511">
        <v>10540072</v>
      </c>
      <c r="B511">
        <v>2.30725636401574</v>
      </c>
      <c r="C511">
        <v>0.477880286336263</v>
      </c>
      <c r="E511" t="str">
        <f>"10540072"</f>
        <v>10540072</v>
      </c>
      <c r="F511" t="str">
        <f t="shared" si="36"/>
        <v>Affy 1.0 ST</v>
      </c>
      <c r="G511" t="str">
        <f>"MGI:3645534"</f>
        <v>MGI:3645534</v>
      </c>
      <c r="H511" t="str">
        <f>"Gm5972"</f>
        <v>Gm5972</v>
      </c>
      <c r="I511" t="str">
        <f>"predicted gene 5972"</f>
        <v>predicted gene 5972</v>
      </c>
      <c r="J511" t="str">
        <f>"pseudogene"</f>
        <v>pseudogene</v>
      </c>
    </row>
    <row r="512" spans="1:10">
      <c r="A512">
        <v>10585091</v>
      </c>
      <c r="B512">
        <v>2.3012756573920101</v>
      </c>
      <c r="C512">
        <v>0.61293991431810302</v>
      </c>
      <c r="E512" t="str">
        <f>"10585091"</f>
        <v>10585091</v>
      </c>
      <c r="F512" t="str">
        <f t="shared" si="36"/>
        <v>Affy 1.0 ST</v>
      </c>
      <c r="G512" t="str">
        <f>"MGI:893586"</f>
        <v>MGI:893586</v>
      </c>
      <c r="H512" t="str">
        <f>"Nhp2l1"</f>
        <v>Nhp2l1</v>
      </c>
      <c r="I512" t="str">
        <f>"NHP2 non-histone chromosome protein 2-like 1 (S. cerevisiae)"</f>
        <v>NHP2 non-histone chromosome protein 2-like 1 (S. cerevisiae)</v>
      </c>
      <c r="J512" t="str">
        <f t="shared" ref="J512:J517" si="37">"protein coding gene"</f>
        <v>protein coding gene</v>
      </c>
    </row>
    <row r="513" spans="1:10">
      <c r="A513">
        <v>10452701</v>
      </c>
      <c r="B513">
        <v>2.3002399748101698</v>
      </c>
      <c r="C513">
        <v>0.79835324690380804</v>
      </c>
      <c r="E513" t="str">
        <f>"10452701"</f>
        <v>10452701</v>
      </c>
      <c r="F513" t="str">
        <f t="shared" si="36"/>
        <v>Affy 1.0 ST</v>
      </c>
      <c r="G513" t="str">
        <f>"MGI:1921605"</f>
        <v>MGI:1921605</v>
      </c>
      <c r="H513" t="str">
        <f>"Smchd1"</f>
        <v>Smchd1</v>
      </c>
      <c r="I513" t="str">
        <f>"SMC hinge domain containing 1"</f>
        <v>SMC hinge domain containing 1</v>
      </c>
      <c r="J513" t="str">
        <f t="shared" si="37"/>
        <v>protein coding gene</v>
      </c>
    </row>
    <row r="514" spans="1:10">
      <c r="A514">
        <v>10578193</v>
      </c>
      <c r="B514">
        <v>2.2882594792503199</v>
      </c>
      <c r="C514">
        <v>0.16216665851292</v>
      </c>
      <c r="E514" t="str">
        <f>"10578193"</f>
        <v>10578193</v>
      </c>
      <c r="F514" t="str">
        <f t="shared" si="36"/>
        <v>Affy 1.0 ST</v>
      </c>
      <c r="G514" t="str">
        <f>"MGI:1914526"</f>
        <v>MGI:1914526</v>
      </c>
      <c r="H514" t="str">
        <f>"Eri1"</f>
        <v>Eri1</v>
      </c>
      <c r="I514" t="str">
        <f>"exoribonuclease 1"</f>
        <v>exoribonuclease 1</v>
      </c>
      <c r="J514" t="str">
        <f t="shared" si="37"/>
        <v>protein coding gene</v>
      </c>
    </row>
    <row r="515" spans="1:10">
      <c r="A515">
        <v>10453399</v>
      </c>
      <c r="B515">
        <v>2.28505449782591</v>
      </c>
      <c r="C515">
        <v>0.35267718504516099</v>
      </c>
      <c r="E515" t="str">
        <f>"10453399"</f>
        <v>10453399</v>
      </c>
      <c r="F515" t="str">
        <f t="shared" si="36"/>
        <v>Affy 1.0 ST</v>
      </c>
      <c r="G515" t="str">
        <f>"MGI:1925836"</f>
        <v>MGI:1925836</v>
      </c>
      <c r="H515" t="str">
        <f>"Srbd1"</f>
        <v>Srbd1</v>
      </c>
      <c r="I515" t="str">
        <f>"S1 RNA binding domain 1"</f>
        <v>S1 RNA binding domain 1</v>
      </c>
      <c r="J515" t="str">
        <f t="shared" si="37"/>
        <v>protein coding gene</v>
      </c>
    </row>
    <row r="516" spans="1:10">
      <c r="A516">
        <v>10382542</v>
      </c>
      <c r="B516">
        <v>2.2805125488914801</v>
      </c>
      <c r="C516">
        <v>0.744001586780352</v>
      </c>
      <c r="E516" t="str">
        <f>"10382542"</f>
        <v>10382542</v>
      </c>
      <c r="F516" t="str">
        <f t="shared" si="36"/>
        <v>Affy 1.0 ST</v>
      </c>
      <c r="G516" t="str">
        <f>"MGI:3046173"</f>
        <v>MGI:3046173</v>
      </c>
      <c r="H516" t="str">
        <f>"Nup85"</f>
        <v>Nup85</v>
      </c>
      <c r="I516" t="str">
        <f>"nucleoporin 85"</f>
        <v>nucleoporin 85</v>
      </c>
      <c r="J516" t="str">
        <f t="shared" si="37"/>
        <v>protein coding gene</v>
      </c>
    </row>
    <row r="517" spans="1:10">
      <c r="A517">
        <v>10479775</v>
      </c>
      <c r="B517">
        <v>2.2771351242034399</v>
      </c>
      <c r="C517">
        <v>0.26387508752070898</v>
      </c>
      <c r="E517" t="str">
        <f>"10479775"</f>
        <v>10479775</v>
      </c>
      <c r="F517" t="str">
        <f t="shared" si="36"/>
        <v>Affy 1.0 ST</v>
      </c>
      <c r="G517" t="str">
        <f>"MGI:1354164"</f>
        <v>MGI:1354164</v>
      </c>
      <c r="H517" t="str">
        <f>"Hspa14"</f>
        <v>Hspa14</v>
      </c>
      <c r="I517" t="str">
        <f>"heat shock protein 14"</f>
        <v>heat shock protein 14</v>
      </c>
      <c r="J517" t="str">
        <f t="shared" si="37"/>
        <v>protein coding gene</v>
      </c>
    </row>
    <row r="518" spans="1:10">
      <c r="A518">
        <v>10338701</v>
      </c>
      <c r="B518">
        <v>2.27521583381849</v>
      </c>
      <c r="C518">
        <v>0.25452656254503198</v>
      </c>
      <c r="E518" t="str">
        <f>"10338701"</f>
        <v>10338701</v>
      </c>
      <c r="F518" t="str">
        <f>""</f>
        <v/>
      </c>
      <c r="G518" t="str">
        <f>"No associated gene"</f>
        <v>No associated gene</v>
      </c>
    </row>
    <row r="519" spans="1:10">
      <c r="A519">
        <v>10482181</v>
      </c>
      <c r="B519">
        <v>2.2721556809240799</v>
      </c>
      <c r="C519">
        <v>0.60056738283167499</v>
      </c>
      <c r="E519" t="str">
        <f>"10482181"</f>
        <v>10482181</v>
      </c>
      <c r="F519" t="str">
        <f t="shared" ref="F519:F527" si="38">"Affy 1.0 ST"</f>
        <v>Affy 1.0 ST</v>
      </c>
      <c r="G519" t="str">
        <f>"MGI:104626"</f>
        <v>MGI:104626</v>
      </c>
      <c r="H519" t="str">
        <f>"Strbp"</f>
        <v>Strbp</v>
      </c>
      <c r="I519" t="str">
        <f>"spermatid perinuclear RNA binding protein"</f>
        <v>spermatid perinuclear RNA binding protein</v>
      </c>
      <c r="J519" t="str">
        <f>"protein coding gene"</f>
        <v>protein coding gene</v>
      </c>
    </row>
    <row r="520" spans="1:10">
      <c r="A520">
        <v>10508996</v>
      </c>
      <c r="B520">
        <v>2.2641070312809899</v>
      </c>
      <c r="C520">
        <v>0.64885262048521697</v>
      </c>
      <c r="E520" t="str">
        <f>"10508996"</f>
        <v>10508996</v>
      </c>
      <c r="F520" t="str">
        <f t="shared" si="38"/>
        <v>Affy 1.0 ST</v>
      </c>
      <c r="G520" t="str">
        <f>"MGI:1917135"</f>
        <v>MGI:1917135</v>
      </c>
      <c r="H520" t="str">
        <f>"2610002D18Rik"</f>
        <v>2610002D18Rik</v>
      </c>
      <c r="I520" t="str">
        <f>"RIKEN cDNA 2610002D18 gene"</f>
        <v>RIKEN cDNA 2610002D18 gene</v>
      </c>
      <c r="J520" t="str">
        <f>"protein coding gene"</f>
        <v>protein coding gene</v>
      </c>
    </row>
    <row r="521" spans="1:10">
      <c r="A521">
        <v>10352356</v>
      </c>
      <c r="B521">
        <v>2.2636017426431398</v>
      </c>
      <c r="C521">
        <v>0.62805297977415897</v>
      </c>
      <c r="E521" t="str">
        <f>"10352356"</f>
        <v>10352356</v>
      </c>
      <c r="F521" t="str">
        <f t="shared" si="38"/>
        <v>Affy 1.0 ST</v>
      </c>
      <c r="G521" t="str">
        <f>"MGI:1919159"</f>
        <v>MGI:1919159</v>
      </c>
      <c r="H521" t="str">
        <f>"Haus5"</f>
        <v>Haus5</v>
      </c>
      <c r="I521" t="s">
        <v>1948</v>
      </c>
      <c r="J521" t="s">
        <v>2010</v>
      </c>
    </row>
    <row r="522" spans="1:10">
      <c r="A522">
        <v>10450384</v>
      </c>
      <c r="B522">
        <v>2.2603327223778602</v>
      </c>
      <c r="C522">
        <v>0.69431863548527195</v>
      </c>
      <c r="E522" t="str">
        <f>"10450384"</f>
        <v>10450384</v>
      </c>
      <c r="F522" t="str">
        <f t="shared" si="38"/>
        <v>Affy 1.0 ST</v>
      </c>
      <c r="G522" t="str">
        <f>"MGI:1329021"</f>
        <v>MGI:1329021</v>
      </c>
      <c r="H522" t="str">
        <f>"Msh5"</f>
        <v>Msh5</v>
      </c>
      <c r="I522" t="str">
        <f>"mutS homolog 5 (E. coli)"</f>
        <v>mutS homolog 5 (E. coli)</v>
      </c>
      <c r="J522" t="str">
        <f>"protein coding gene"</f>
        <v>protein coding gene</v>
      </c>
    </row>
    <row r="523" spans="1:10">
      <c r="A523">
        <v>10510142</v>
      </c>
      <c r="B523">
        <v>2.2568304730422701</v>
      </c>
      <c r="C523">
        <v>0.206624681323652</v>
      </c>
      <c r="E523" t="str">
        <f>"10510142"</f>
        <v>10510142</v>
      </c>
      <c r="F523" t="str">
        <f t="shared" si="38"/>
        <v>Affy 1.0 ST</v>
      </c>
      <c r="G523" t="str">
        <f>"MGI:2443330"</f>
        <v>MGI:2443330</v>
      </c>
      <c r="H523" t="str">
        <f>"Vmn2r-ps14"</f>
        <v>Vmn2r-ps14</v>
      </c>
      <c r="I523" t="s">
        <v>1894</v>
      </c>
      <c r="J523" t="s">
        <v>2015</v>
      </c>
    </row>
    <row r="524" spans="1:10">
      <c r="A524">
        <v>10447880</v>
      </c>
      <c r="B524">
        <v>2.2565688537177402</v>
      </c>
      <c r="C524">
        <v>0.58688049632249195</v>
      </c>
      <c r="E524" t="str">
        <f>"10447880"</f>
        <v>10447880</v>
      </c>
      <c r="F524" t="str">
        <f t="shared" si="38"/>
        <v>Affy 1.0 ST</v>
      </c>
      <c r="G524" t="str">
        <f>"MGI:1914931"</f>
        <v>MGI:1914931</v>
      </c>
      <c r="H524" t="str">
        <f>"Mrpl18"</f>
        <v>Mrpl18</v>
      </c>
      <c r="I524" t="str">
        <f>"mitochondrial ribosomal protein L18"</f>
        <v>mitochondrial ribosomal protein L18</v>
      </c>
      <c r="J524" t="str">
        <f>"protein coding gene"</f>
        <v>protein coding gene</v>
      </c>
    </row>
    <row r="525" spans="1:10">
      <c r="A525">
        <v>10475437</v>
      </c>
      <c r="B525">
        <v>2.25620230892982</v>
      </c>
      <c r="C525">
        <v>0.438093356874172</v>
      </c>
      <c r="E525" t="str">
        <f>"10475437"</f>
        <v>10475437</v>
      </c>
      <c r="F525" t="str">
        <f t="shared" si="38"/>
        <v>Affy 1.0 ST</v>
      </c>
      <c r="G525" t="str">
        <f>"MGI:98266"</f>
        <v>MGI:98266</v>
      </c>
      <c r="H525" t="str">
        <f>"Sord"</f>
        <v>Sord</v>
      </c>
      <c r="I525" t="str">
        <f>"sorbitol dehydrogenase"</f>
        <v>sorbitol dehydrogenase</v>
      </c>
      <c r="J525" t="str">
        <f>"protein coding gene"</f>
        <v>protein coding gene</v>
      </c>
    </row>
    <row r="526" spans="1:10">
      <c r="A526">
        <v>10548057</v>
      </c>
      <c r="B526">
        <v>2.2503847308092699</v>
      </c>
      <c r="C526">
        <v>0.38031646107717698</v>
      </c>
      <c r="E526" t="str">
        <f>"10548057"</f>
        <v>10548057</v>
      </c>
      <c r="F526" t="str">
        <f t="shared" si="38"/>
        <v>Affy 1.0 ST</v>
      </c>
      <c r="G526" t="str">
        <f>"MGI:1913358"</f>
        <v>MGI:1913358</v>
      </c>
      <c r="H526" t="str">
        <f>"Ndufa9"</f>
        <v>Ndufa9</v>
      </c>
      <c r="I526" t="s">
        <v>1895</v>
      </c>
      <c r="J526" t="s">
        <v>2010</v>
      </c>
    </row>
    <row r="527" spans="1:10">
      <c r="A527">
        <v>10580722</v>
      </c>
      <c r="B527">
        <v>2.2501163901526899</v>
      </c>
      <c r="C527">
        <v>0.65396371777568396</v>
      </c>
      <c r="E527" t="str">
        <f>"10580722"</f>
        <v>10580722</v>
      </c>
      <c r="F527" t="str">
        <f t="shared" si="38"/>
        <v>Affy 1.0 ST</v>
      </c>
      <c r="G527" t="str">
        <f>"MGI:1915469"</f>
        <v>MGI:1915469</v>
      </c>
      <c r="H527" t="str">
        <f>"Nudt21"</f>
        <v>Nudt21</v>
      </c>
      <c r="I527" t="str">
        <f>"nudix (nucleoside diphosphate linked moiety X)-type motif 21"</f>
        <v>nudix (nucleoside diphosphate linked moiety X)-type motif 21</v>
      </c>
      <c r="J527" t="str">
        <f>"protein coding gene"</f>
        <v>protein coding gene</v>
      </c>
    </row>
    <row r="528" spans="1:10">
      <c r="A528">
        <v>10339740</v>
      </c>
      <c r="B528">
        <v>2.2494980041347801</v>
      </c>
      <c r="C528">
        <v>0.23264116810627999</v>
      </c>
      <c r="E528" t="str">
        <f>"10339740"</f>
        <v>10339740</v>
      </c>
      <c r="F528" t="str">
        <f>""</f>
        <v/>
      </c>
      <c r="G528" t="str">
        <f>"No associated gene"</f>
        <v>No associated gene</v>
      </c>
    </row>
    <row r="529" spans="1:10">
      <c r="A529">
        <v>10420668</v>
      </c>
      <c r="B529">
        <v>2.2447129432889401</v>
      </c>
      <c r="C529">
        <v>0.246982269241872</v>
      </c>
      <c r="E529" t="str">
        <f>"10420668"</f>
        <v>10420668</v>
      </c>
      <c r="F529" t="str">
        <f>""</f>
        <v/>
      </c>
      <c r="G529" t="str">
        <f>"No associated gene"</f>
        <v>No associated gene</v>
      </c>
    </row>
    <row r="530" spans="1:10">
      <c r="A530">
        <v>10449999</v>
      </c>
      <c r="B530">
        <v>2.2417363372377999</v>
      </c>
      <c r="C530">
        <v>0.58395350985154104</v>
      </c>
      <c r="E530" t="str">
        <f>"10449999"</f>
        <v>10449999</v>
      </c>
      <c r="F530" t="str">
        <f t="shared" ref="F530:F537" si="39">"Affy 1.0 ST"</f>
        <v>Affy 1.0 ST</v>
      </c>
      <c r="G530" t="str">
        <f>"MGI:107547"</f>
        <v>MGI:107547</v>
      </c>
      <c r="H530" t="str">
        <f>"Zfp101"</f>
        <v>Zfp101</v>
      </c>
      <c r="I530" t="str">
        <f>"zinc finger protein 101"</f>
        <v>zinc finger protein 101</v>
      </c>
      <c r="J530" t="str">
        <f>"protein coding gene"</f>
        <v>protein coding gene</v>
      </c>
    </row>
    <row r="531" spans="1:10">
      <c r="A531">
        <v>10604620</v>
      </c>
      <c r="B531">
        <v>2.2398979789367202</v>
      </c>
      <c r="C531">
        <v>0.62389425029069101</v>
      </c>
      <c r="E531" t="str">
        <f>"10604620"</f>
        <v>10604620</v>
      </c>
      <c r="F531" t="str">
        <f t="shared" si="39"/>
        <v>Affy 1.0 ST</v>
      </c>
      <c r="G531" t="str">
        <f>"MGI:1926005"</f>
        <v>MGI:1926005</v>
      </c>
      <c r="H531" t="str">
        <f>"Fam122b"</f>
        <v>Fam122b</v>
      </c>
      <c r="I531" t="s">
        <v>1896</v>
      </c>
      <c r="J531" t="s">
        <v>2010</v>
      </c>
    </row>
    <row r="532" spans="1:10">
      <c r="A532">
        <v>10409737</v>
      </c>
      <c r="B532">
        <v>2.2395346715311</v>
      </c>
      <c r="C532">
        <v>0.52209657140936006</v>
      </c>
      <c r="E532" t="str">
        <f>"10409737"</f>
        <v>10409737</v>
      </c>
      <c r="F532" t="str">
        <f t="shared" si="39"/>
        <v>Affy 1.0 ST</v>
      </c>
      <c r="G532" t="str">
        <f>"MGI:2159437"</f>
        <v>MGI:2159437</v>
      </c>
      <c r="H532" t="str">
        <f>"Agtpbp1"</f>
        <v>Agtpbp1</v>
      </c>
      <c r="I532" t="str">
        <f>"ATP/GTP binding protein 1"</f>
        <v>ATP/GTP binding protein 1</v>
      </c>
      <c r="J532" t="str">
        <f>"protein coding gene"</f>
        <v>protein coding gene</v>
      </c>
    </row>
    <row r="533" spans="1:10">
      <c r="A533">
        <v>10438909</v>
      </c>
      <c r="B533">
        <v>2.2350025051356202</v>
      </c>
      <c r="C533">
        <v>0.40511456843751498</v>
      </c>
      <c r="E533" t="str">
        <f>"10438909"</f>
        <v>10438909</v>
      </c>
      <c r="F533" t="str">
        <f t="shared" si="39"/>
        <v>Affy 1.0 ST</v>
      </c>
      <c r="G533" t="str">
        <f>"MGI:2685387"</f>
        <v>MGI:2685387</v>
      </c>
      <c r="H533" t="str">
        <f>"Atp13a3"</f>
        <v>Atp13a3</v>
      </c>
      <c r="I533" t="str">
        <f>"ATPase type 13A3"</f>
        <v>ATPase type 13A3</v>
      </c>
      <c r="J533" t="str">
        <f>"protein coding gene"</f>
        <v>protein coding gene</v>
      </c>
    </row>
    <row r="534" spans="1:10">
      <c r="A534">
        <v>10586773</v>
      </c>
      <c r="B534">
        <v>2.22488490909981</v>
      </c>
      <c r="C534">
        <v>0.44810759544447198</v>
      </c>
      <c r="E534" t="str">
        <f>"10586773"</f>
        <v>10586773</v>
      </c>
      <c r="F534" t="str">
        <f t="shared" si="39"/>
        <v>Affy 1.0 ST</v>
      </c>
      <c r="G534" t="str">
        <f>"MGI:1933289"</f>
        <v>MGI:1933289</v>
      </c>
      <c r="H534" t="str">
        <f>"Gtf2a2"</f>
        <v>Gtf2a2</v>
      </c>
      <c r="I534" t="s">
        <v>1897</v>
      </c>
      <c r="J534" t="s">
        <v>2010</v>
      </c>
    </row>
    <row r="535" spans="1:10">
      <c r="A535">
        <v>10395831</v>
      </c>
      <c r="B535">
        <v>2.22292841352674</v>
      </c>
      <c r="C535">
        <v>0.47543434767707499</v>
      </c>
      <c r="E535" t="str">
        <f>"10395831"</f>
        <v>10395831</v>
      </c>
      <c r="F535" t="str">
        <f t="shared" si="39"/>
        <v>Affy 1.0 ST</v>
      </c>
      <c r="G535" t="str">
        <f>"MGI:1196337"</f>
        <v>MGI:1196337</v>
      </c>
      <c r="H535" t="str">
        <f>"Brms1l"</f>
        <v>Brms1l</v>
      </c>
      <c r="I535" t="str">
        <f>"breast cancer metastasis-suppressor 1-like"</f>
        <v>breast cancer metastasis-suppressor 1-like</v>
      </c>
      <c r="J535" t="str">
        <f>"protein coding gene"</f>
        <v>protein coding gene</v>
      </c>
    </row>
    <row r="536" spans="1:10">
      <c r="A536">
        <v>10474577</v>
      </c>
      <c r="B536">
        <v>2.2219500581578502</v>
      </c>
      <c r="C536">
        <v>0.49928475805370898</v>
      </c>
      <c r="E536" t="str">
        <f>"10474577"</f>
        <v>10474577</v>
      </c>
      <c r="F536" t="str">
        <f t="shared" si="39"/>
        <v>Affy 1.0 ST</v>
      </c>
      <c r="G536" t="str">
        <f>"MGI:1919675"</f>
        <v>MGI:1919675</v>
      </c>
      <c r="H536" t="str">
        <f>"2410042D21Rik"</f>
        <v>2410042D21Rik</v>
      </c>
      <c r="I536" t="str">
        <f>"RIKEN cDNA 2410042D21 gene"</f>
        <v>RIKEN cDNA 2410042D21 gene</v>
      </c>
      <c r="J536" t="str">
        <f>"protein coding gene"</f>
        <v>protein coding gene</v>
      </c>
    </row>
    <row r="537" spans="1:10">
      <c r="A537">
        <v>10528840</v>
      </c>
      <c r="B537">
        <v>2.2210082438533698</v>
      </c>
      <c r="C537">
        <v>0.30775282327091902</v>
      </c>
      <c r="E537" t="str">
        <f>"10528840"</f>
        <v>10528840</v>
      </c>
      <c r="F537" t="str">
        <f t="shared" si="39"/>
        <v>Affy 1.0 ST</v>
      </c>
      <c r="G537" t="str">
        <f>"MGI:1890430"</f>
        <v>MGI:1890430</v>
      </c>
      <c r="H537" t="str">
        <f>"Paxip1"</f>
        <v>Paxip1</v>
      </c>
      <c r="I537" t="str">
        <f>"PAX interacting (with transcription-activation domain) protein 1"</f>
        <v>PAX interacting (with transcription-activation domain) protein 1</v>
      </c>
      <c r="J537" t="str">
        <f>"protein coding gene"</f>
        <v>protein coding gene</v>
      </c>
    </row>
    <row r="538" spans="1:10">
      <c r="A538">
        <v>10340212</v>
      </c>
      <c r="B538">
        <v>2.2150878576962798</v>
      </c>
      <c r="C538">
        <v>0.26106971576180299</v>
      </c>
      <c r="E538" t="str">
        <f>"10340212"</f>
        <v>10340212</v>
      </c>
      <c r="F538" t="str">
        <f>""</f>
        <v/>
      </c>
      <c r="G538" t="str">
        <f>"No associated gene"</f>
        <v>No associated gene</v>
      </c>
    </row>
    <row r="539" spans="1:10">
      <c r="A539">
        <v>10488589</v>
      </c>
      <c r="B539">
        <v>2.21320221431461</v>
      </c>
      <c r="C539">
        <v>0.53469916732957901</v>
      </c>
      <c r="E539" t="str">
        <f>"10488589"</f>
        <v>10488589</v>
      </c>
      <c r="F539" t="str">
        <f>"Affy 1.0 ST"</f>
        <v>Affy 1.0 ST</v>
      </c>
      <c r="G539" t="str">
        <f>"MGI:1921097"</f>
        <v>MGI:1921097</v>
      </c>
      <c r="H539" t="str">
        <f>"Fam110a"</f>
        <v>Fam110a</v>
      </c>
      <c r="I539" t="s">
        <v>1898</v>
      </c>
      <c r="J539" t="s">
        <v>2010</v>
      </c>
    </row>
    <row r="540" spans="1:10">
      <c r="A540">
        <v>10405058</v>
      </c>
      <c r="B540">
        <v>2.2120108823183302</v>
      </c>
      <c r="C540">
        <v>0.57505128680842499</v>
      </c>
      <c r="E540" t="str">
        <f>"10405058"</f>
        <v>10405058</v>
      </c>
      <c r="F540" t="str">
        <f>"Affy 1.0 ST"</f>
        <v>Affy 1.0 ST</v>
      </c>
      <c r="G540" t="str">
        <f>"MGI:1350918"</f>
        <v>MGI:1350918</v>
      </c>
      <c r="H540" t="str">
        <f>"Omd"</f>
        <v>Omd</v>
      </c>
      <c r="I540" t="str">
        <f>"osteomodulin"</f>
        <v>osteomodulin</v>
      </c>
      <c r="J540" t="str">
        <f>"protein coding gene"</f>
        <v>protein coding gene</v>
      </c>
    </row>
    <row r="541" spans="1:10">
      <c r="A541">
        <v>10386402</v>
      </c>
      <c r="B541">
        <v>2.21087195786528</v>
      </c>
      <c r="C541">
        <v>0.48380651294971899</v>
      </c>
      <c r="E541" t="str">
        <f>"10386402"</f>
        <v>10386402</v>
      </c>
      <c r="F541" t="str">
        <f>"Affy 1.0 ST"</f>
        <v>Affy 1.0 ST</v>
      </c>
      <c r="G541" t="str">
        <f>"MGI:2679270"</f>
        <v>MGI:2679270</v>
      </c>
      <c r="H541" t="str">
        <f>"Zkscan17"</f>
        <v>Zkscan17</v>
      </c>
      <c r="I541" t="str">
        <f>"zinc finger with KRAB and SCAN domains 17"</f>
        <v>zinc finger with KRAB and SCAN domains 17</v>
      </c>
      <c r="J541" t="str">
        <f>"protein coding gene"</f>
        <v>protein coding gene</v>
      </c>
    </row>
    <row r="542" spans="1:10">
      <c r="A542">
        <v>10552173</v>
      </c>
      <c r="B542">
        <v>2.20415244220731</v>
      </c>
      <c r="C542">
        <v>0.42414680320243298</v>
      </c>
      <c r="E542" t="str">
        <f>"10552173"</f>
        <v>10552173</v>
      </c>
      <c r="F542" t="str">
        <f>"Affy 1.0 ST"</f>
        <v>Affy 1.0 ST</v>
      </c>
      <c r="G542" t="str">
        <f>"MGI:1919390"</f>
        <v>MGI:1919390</v>
      </c>
      <c r="H542" t="str">
        <f>"Ccdc123"</f>
        <v>Ccdc123</v>
      </c>
      <c r="I542" t="str">
        <f>"coiled-coil domain containing 123"</f>
        <v>coiled-coil domain containing 123</v>
      </c>
      <c r="J542" t="str">
        <f>"protein coding gene"</f>
        <v>protein coding gene</v>
      </c>
    </row>
    <row r="543" spans="1:10">
      <c r="A543">
        <v>10341721</v>
      </c>
      <c r="B543">
        <v>2.2010653520827201</v>
      </c>
      <c r="C543">
        <v>0.27656493665040599</v>
      </c>
      <c r="E543" t="str">
        <f>"10341721"</f>
        <v>10341721</v>
      </c>
      <c r="F543" t="str">
        <f>""</f>
        <v/>
      </c>
      <c r="G543" t="str">
        <f>"No associated gene"</f>
        <v>No associated gene</v>
      </c>
    </row>
    <row r="544" spans="1:10">
      <c r="A544">
        <v>10495763</v>
      </c>
      <c r="B544">
        <v>2.1995157125275999</v>
      </c>
      <c r="C544">
        <v>0.60902130303991397</v>
      </c>
      <c r="E544" t="str">
        <f>"10495763"</f>
        <v>10495763</v>
      </c>
      <c r="F544" t="str">
        <f>"Affy 1.0 ST"</f>
        <v>Affy 1.0 ST</v>
      </c>
      <c r="G544" t="str">
        <f>"MGI:104995"</f>
        <v>MGI:104995</v>
      </c>
      <c r="H544" t="str">
        <f>"Gclm"</f>
        <v>Gclm</v>
      </c>
      <c r="I544" t="s">
        <v>1979</v>
      </c>
      <c r="J544" t="s">
        <v>2010</v>
      </c>
    </row>
    <row r="545" spans="1:10">
      <c r="A545">
        <v>10371307</v>
      </c>
      <c r="B545">
        <v>2.19864592106117</v>
      </c>
      <c r="C545">
        <v>0.42975945242850899</v>
      </c>
      <c r="E545" t="str">
        <f>"10371307"</f>
        <v>10371307</v>
      </c>
      <c r="F545" t="str">
        <f>"Affy 1.0 ST"</f>
        <v>Affy 1.0 ST</v>
      </c>
      <c r="G545" t="str">
        <f>"MGI:97317"</f>
        <v>MGI:97317</v>
      </c>
      <c r="H545" t="str">
        <f>"Nfyb"</f>
        <v>Nfyb</v>
      </c>
      <c r="I545" t="str">
        <f>"nuclear transcription factor-Y beta"</f>
        <v>nuclear transcription factor-Y beta</v>
      </c>
      <c r="J545" t="str">
        <f>"protein coding gene"</f>
        <v>protein coding gene</v>
      </c>
    </row>
    <row r="546" spans="1:10">
      <c r="A546">
        <v>10392943</v>
      </c>
      <c r="B546">
        <v>2.1952210819367299</v>
      </c>
      <c r="C546">
        <v>0.43912145094128202</v>
      </c>
      <c r="E546" t="str">
        <f>"10392943"</f>
        <v>10392943</v>
      </c>
      <c r="F546" t="str">
        <f>"Affy 1.0 ST"</f>
        <v>Affy 1.0 ST</v>
      </c>
      <c r="G546" t="str">
        <f>"MGI:1096361"</f>
        <v>MGI:1096361</v>
      </c>
      <c r="H546" t="str">
        <f>"Hn1"</f>
        <v>Hn1</v>
      </c>
      <c r="I546" t="str">
        <f>"hematological and neurological expressed sequence 1"</f>
        <v>hematological and neurological expressed sequence 1</v>
      </c>
      <c r="J546" t="str">
        <f>"protein coding gene"</f>
        <v>protein coding gene</v>
      </c>
    </row>
    <row r="547" spans="1:10">
      <c r="A547">
        <v>10439878</v>
      </c>
      <c r="B547">
        <v>2.1916302342475098</v>
      </c>
      <c r="C547">
        <v>0.21484399081432301</v>
      </c>
      <c r="E547" t="str">
        <f>"10439878"</f>
        <v>10439878</v>
      </c>
      <c r="F547" t="str">
        <f>"Affy 1.0 ST"</f>
        <v>Affy 1.0 ST</v>
      </c>
      <c r="G547" t="str">
        <f>"MGI:106054"</f>
        <v>MGI:106054</v>
      </c>
      <c r="H547" t="str">
        <f>"Psmc1"</f>
        <v>Psmc1</v>
      </c>
      <c r="I547" t="s">
        <v>1980</v>
      </c>
      <c r="J547" t="s">
        <v>2010</v>
      </c>
    </row>
    <row r="548" spans="1:10">
      <c r="A548">
        <v>10342642</v>
      </c>
      <c r="B548">
        <v>2.1794910780744901</v>
      </c>
      <c r="C548">
        <v>0.256848681507229</v>
      </c>
      <c r="E548" t="str">
        <f>"10342642"</f>
        <v>10342642</v>
      </c>
      <c r="F548" t="str">
        <f>""</f>
        <v/>
      </c>
      <c r="G548" t="str">
        <f>"No associated gene"</f>
        <v>No associated gene</v>
      </c>
    </row>
    <row r="549" spans="1:10">
      <c r="A549">
        <v>10339335</v>
      </c>
      <c r="B549">
        <v>2.1780788452867501</v>
      </c>
      <c r="C549">
        <v>0.23129143422305601</v>
      </c>
      <c r="E549" t="str">
        <f>"10339335"</f>
        <v>10339335</v>
      </c>
      <c r="F549" t="str">
        <f>""</f>
        <v/>
      </c>
      <c r="G549" t="str">
        <f>"No associated gene"</f>
        <v>No associated gene</v>
      </c>
    </row>
    <row r="550" spans="1:10">
      <c r="A550">
        <v>10339595</v>
      </c>
      <c r="B550">
        <v>2.1766014000457301</v>
      </c>
      <c r="C550">
        <v>0.20734943390923499</v>
      </c>
      <c r="E550" t="str">
        <f>"10339595"</f>
        <v>10339595</v>
      </c>
      <c r="F550" t="str">
        <f>""</f>
        <v/>
      </c>
      <c r="G550" t="str">
        <f>"No associated gene"</f>
        <v>No associated gene</v>
      </c>
    </row>
    <row r="551" spans="1:10">
      <c r="A551">
        <v>10595900</v>
      </c>
      <c r="B551">
        <v>2.1758351669712699</v>
      </c>
      <c r="C551">
        <v>0.28941040508933302</v>
      </c>
      <c r="E551" t="str">
        <f>"10595900"</f>
        <v>10595900</v>
      </c>
      <c r="F551" t="str">
        <f>"Affy 1.0 ST"</f>
        <v>Affy 1.0 ST</v>
      </c>
      <c r="G551" t="str">
        <f>"MGI:1928137"</f>
        <v>MGI:1928137</v>
      </c>
      <c r="H551" t="str">
        <f>"Mrps22"</f>
        <v>Mrps22</v>
      </c>
      <c r="I551" t="str">
        <f>"mitochondrial ribosomal protein S22"</f>
        <v>mitochondrial ribosomal protein S22</v>
      </c>
      <c r="J551" t="str">
        <f>"protein coding gene"</f>
        <v>protein coding gene</v>
      </c>
    </row>
    <row r="552" spans="1:10">
      <c r="A552">
        <v>10514158</v>
      </c>
      <c r="B552">
        <v>2.1715448555522499</v>
      </c>
      <c r="C552">
        <v>0.41602775449525298</v>
      </c>
      <c r="E552" t="str">
        <f>"10514158"</f>
        <v>10514158</v>
      </c>
      <c r="F552" t="str">
        <f>"Affy 1.0 ST"</f>
        <v>Affy 1.0 ST</v>
      </c>
      <c r="G552" t="str">
        <f>"MGI:2142116"</f>
        <v>MGI:2142116</v>
      </c>
      <c r="H552" t="str">
        <f>"Psip1"</f>
        <v>Psip1</v>
      </c>
      <c r="I552" t="str">
        <f>"PC4 and SFRS1 interacting protein 1"</f>
        <v>PC4 and SFRS1 interacting protein 1</v>
      </c>
      <c r="J552" t="str">
        <f>"protein coding gene"</f>
        <v>protein coding gene</v>
      </c>
    </row>
    <row r="553" spans="1:10">
      <c r="A553">
        <v>10452213</v>
      </c>
      <c r="B553">
        <v>2.1685678974405902</v>
      </c>
      <c r="C553">
        <v>0.12640397183060001</v>
      </c>
      <c r="E553" t="str">
        <f>"10452213"</f>
        <v>10452213</v>
      </c>
      <c r="F553" t="str">
        <f>"Affy 1.0 ST"</f>
        <v>Affy 1.0 ST</v>
      </c>
      <c r="G553" t="str">
        <f>"MGI:1923848"</f>
        <v>MGI:1923848</v>
      </c>
      <c r="H553" t="str">
        <f>"Gtf2f1"</f>
        <v>Gtf2f1</v>
      </c>
      <c r="I553" t="s">
        <v>1981</v>
      </c>
      <c r="J553" t="s">
        <v>2010</v>
      </c>
    </row>
    <row r="554" spans="1:10">
      <c r="A554">
        <v>10529305</v>
      </c>
      <c r="B554">
        <v>2.1674089262573202</v>
      </c>
      <c r="C554">
        <v>0.18365134988318599</v>
      </c>
      <c r="E554" t="str">
        <f>"10529305"</f>
        <v>10529305</v>
      </c>
      <c r="F554" t="str">
        <f>"Affy 1.0 ST"</f>
        <v>Affy 1.0 ST</v>
      </c>
      <c r="G554" t="str">
        <f>"MGI:1915616"</f>
        <v>MGI:1915616</v>
      </c>
      <c r="H554" t="str">
        <f>"Tmem129"</f>
        <v>Tmem129</v>
      </c>
      <c r="I554" t="str">
        <f>"transmembrane protein 129"</f>
        <v>transmembrane protein 129</v>
      </c>
      <c r="J554" t="str">
        <f>"protein coding gene"</f>
        <v>protein coding gene</v>
      </c>
    </row>
    <row r="555" spans="1:10">
      <c r="A555">
        <v>10507699</v>
      </c>
      <c r="B555">
        <v>2.1666787095090498</v>
      </c>
      <c r="C555">
        <v>0.41930580486860702</v>
      </c>
      <c r="E555" t="str">
        <f>"10507699"</f>
        <v>10507699</v>
      </c>
      <c r="F555" t="str">
        <f>"Affy 1.0 ST"</f>
        <v>Affy 1.0 ST</v>
      </c>
      <c r="G555" t="str">
        <f>"MGI:1352762"</f>
        <v>MGI:1352762</v>
      </c>
      <c r="H555" t="str">
        <f>"Scmh1"</f>
        <v>Scmh1</v>
      </c>
      <c r="I555" t="str">
        <f>"sex comb on midleg homolog 1"</f>
        <v>sex comb on midleg homolog 1</v>
      </c>
      <c r="J555" t="str">
        <f>"protein coding gene"</f>
        <v>protein coding gene</v>
      </c>
    </row>
    <row r="556" spans="1:10">
      <c r="A556">
        <v>10341746</v>
      </c>
      <c r="B556">
        <v>2.1566329897001699</v>
      </c>
      <c r="C556">
        <v>0.420553619779934</v>
      </c>
      <c r="E556" t="str">
        <f>"10341746"</f>
        <v>10341746</v>
      </c>
      <c r="F556" t="str">
        <f>""</f>
        <v/>
      </c>
      <c r="G556" t="str">
        <f>"No associated gene"</f>
        <v>No associated gene</v>
      </c>
    </row>
    <row r="557" spans="1:10">
      <c r="A557">
        <v>10466000</v>
      </c>
      <c r="B557">
        <v>2.1557627574935601</v>
      </c>
      <c r="C557">
        <v>0.51175867974859002</v>
      </c>
      <c r="E557" t="str">
        <f>"10466000"</f>
        <v>10466000</v>
      </c>
      <c r="F557" t="str">
        <f>"Affy 1.0 ST"</f>
        <v>Affy 1.0 ST</v>
      </c>
      <c r="G557" t="str">
        <f>"MGI:1920232"</f>
        <v>MGI:1920232</v>
      </c>
      <c r="H557" t="str">
        <f>"Tmem138"</f>
        <v>Tmem138</v>
      </c>
      <c r="I557" t="str">
        <f>"transmembrane protein 138"</f>
        <v>transmembrane protein 138</v>
      </c>
      <c r="J557" t="str">
        <f>"protein coding gene"</f>
        <v>protein coding gene</v>
      </c>
    </row>
    <row r="558" spans="1:10">
      <c r="A558">
        <v>10502029</v>
      </c>
      <c r="B558">
        <v>2.1531277688111601</v>
      </c>
      <c r="C558">
        <v>0.34141282580993099</v>
      </c>
      <c r="E558" t="str">
        <f>"10502029"</f>
        <v>10502029</v>
      </c>
      <c r="F558" t="str">
        <f>"Affy 1.0 ST"</f>
        <v>Affy 1.0 ST</v>
      </c>
      <c r="G558" t="str">
        <f>"MGI:107634"</f>
        <v>MGI:107634</v>
      </c>
      <c r="H558" t="str">
        <f>"Larp7"</f>
        <v>Larp7</v>
      </c>
      <c r="I558" t="s">
        <v>2072</v>
      </c>
      <c r="J558" t="s">
        <v>2010</v>
      </c>
    </row>
    <row r="559" spans="1:10">
      <c r="A559">
        <v>10608696</v>
      </c>
      <c r="B559">
        <v>2.1526931879632798</v>
      </c>
      <c r="C559">
        <v>0.54834124105551996</v>
      </c>
      <c r="E559" t="str">
        <f>"10608696"</f>
        <v>10608696</v>
      </c>
      <c r="F559" t="str">
        <f>""</f>
        <v/>
      </c>
      <c r="G559" t="str">
        <f>"No associated gene"</f>
        <v>No associated gene</v>
      </c>
    </row>
    <row r="560" spans="1:10">
      <c r="A560">
        <v>10496638</v>
      </c>
      <c r="B560">
        <v>2.1523777268230999</v>
      </c>
      <c r="C560">
        <v>0.61030022952385299</v>
      </c>
      <c r="E560" t="str">
        <f>"10496638"</f>
        <v>10496638</v>
      </c>
      <c r="F560" t="str">
        <f>"Affy 1.0 ST"</f>
        <v>Affy 1.0 ST</v>
      </c>
      <c r="G560" t="str">
        <f>"MGI:1098600"</f>
        <v>MGI:1098600</v>
      </c>
      <c r="H560" t="str">
        <f>"Odf2l"</f>
        <v>Odf2l</v>
      </c>
      <c r="I560" t="str">
        <f>"outer dense fiber of sperm tails 2-like"</f>
        <v>outer dense fiber of sperm tails 2-like</v>
      </c>
      <c r="J560" t="str">
        <f>"protein coding gene"</f>
        <v>protein coding gene</v>
      </c>
    </row>
    <row r="561" spans="1:10">
      <c r="A561">
        <v>10343933</v>
      </c>
      <c r="B561">
        <v>2.1514547143144198</v>
      </c>
      <c r="C561">
        <v>0.33020783033199103</v>
      </c>
      <c r="E561" t="str">
        <f>"10343933"</f>
        <v>10343933</v>
      </c>
      <c r="F561" t="str">
        <f>""</f>
        <v/>
      </c>
      <c r="G561" t="str">
        <f>"No associated gene"</f>
        <v>No associated gene</v>
      </c>
    </row>
    <row r="562" spans="1:10">
      <c r="A562">
        <v>10543709</v>
      </c>
      <c r="B562">
        <v>2.1475385456182701</v>
      </c>
      <c r="C562">
        <v>0.18654995677116601</v>
      </c>
      <c r="E562" t="str">
        <f>"10543709"</f>
        <v>10543709</v>
      </c>
      <c r="F562" t="str">
        <f t="shared" ref="F562:F586" si="40">"Affy 1.0 ST"</f>
        <v>Affy 1.0 ST</v>
      </c>
      <c r="G562" t="str">
        <f>"MGI:1919899"</f>
        <v>MGI:1919899</v>
      </c>
      <c r="H562" t="str">
        <f>"Tmem209"</f>
        <v>Tmem209</v>
      </c>
      <c r="I562" t="str">
        <f>"transmembrane protein 209"</f>
        <v>transmembrane protein 209</v>
      </c>
      <c r="J562" t="str">
        <f>"protein coding gene"</f>
        <v>protein coding gene</v>
      </c>
    </row>
    <row r="563" spans="1:10">
      <c r="A563">
        <v>10575961</v>
      </c>
      <c r="B563">
        <v>2.1448934386801701</v>
      </c>
      <c r="C563">
        <v>0.61021328186263502</v>
      </c>
      <c r="E563" t="str">
        <f>"10575961"</f>
        <v>10575961</v>
      </c>
      <c r="F563" t="str">
        <f t="shared" si="40"/>
        <v>Affy 1.0 ST</v>
      </c>
      <c r="G563" t="str">
        <f>"MGI:894652"</f>
        <v>MGI:894652</v>
      </c>
      <c r="H563" t="str">
        <f>"Usp10"</f>
        <v>Usp10</v>
      </c>
      <c r="I563" t="str">
        <f>"ubiquitin specific peptidase 10"</f>
        <v>ubiquitin specific peptidase 10</v>
      </c>
      <c r="J563" t="str">
        <f>"protein coding gene"</f>
        <v>protein coding gene</v>
      </c>
    </row>
    <row r="564" spans="1:10">
      <c r="A564">
        <v>10487109</v>
      </c>
      <c r="B564">
        <v>2.1404182125533899</v>
      </c>
      <c r="C564">
        <v>0.25398167608837902</v>
      </c>
      <c r="E564" t="str">
        <f>"10487109"</f>
        <v>10487109</v>
      </c>
      <c r="F564" t="str">
        <f t="shared" si="40"/>
        <v>Affy 1.0 ST</v>
      </c>
      <c r="G564" t="str">
        <f>"MGI:2139083"</f>
        <v>MGI:2139083</v>
      </c>
      <c r="H564" t="str">
        <f>"Cep152"</f>
        <v>Cep152</v>
      </c>
      <c r="I564" t="str">
        <f>"centrosomal protein 152"</f>
        <v>centrosomal protein 152</v>
      </c>
      <c r="J564" t="str">
        <f>"protein coding gene"</f>
        <v>protein coding gene</v>
      </c>
    </row>
    <row r="565" spans="1:10">
      <c r="A565">
        <v>10372687</v>
      </c>
      <c r="B565">
        <v>2.1393755726400401</v>
      </c>
      <c r="C565">
        <v>0.154574442024072</v>
      </c>
      <c r="E565" t="str">
        <f>"10372687"</f>
        <v>10372687</v>
      </c>
      <c r="F565" t="str">
        <f t="shared" si="40"/>
        <v>Affy 1.0 ST</v>
      </c>
      <c r="G565" t="str">
        <f>"MGI:2143854"</f>
        <v>MGI:2143854</v>
      </c>
      <c r="H565" t="str">
        <f>"Nup107"</f>
        <v>Nup107</v>
      </c>
      <c r="I565" t="str">
        <f>"nucleoporin 107"</f>
        <v>nucleoporin 107</v>
      </c>
      <c r="J565" t="str">
        <f>"protein coding gene"</f>
        <v>protein coding gene</v>
      </c>
    </row>
    <row r="566" spans="1:10">
      <c r="A566">
        <v>10416044</v>
      </c>
      <c r="B566">
        <v>2.13826638309382</v>
      </c>
      <c r="C566">
        <v>6.4611358544134703E-2</v>
      </c>
      <c r="E566" t="str">
        <f>"10416044"</f>
        <v>10416044</v>
      </c>
      <c r="F566" t="str">
        <f t="shared" si="40"/>
        <v>Affy 1.0 ST</v>
      </c>
      <c r="G566" t="str">
        <f>"MGI:1914429"</f>
        <v>MGI:1914429</v>
      </c>
      <c r="H566" t="str">
        <f>"Ccdc25"</f>
        <v>Ccdc25</v>
      </c>
      <c r="I566" t="str">
        <f>"coiled-coil domain containing 25"</f>
        <v>coiled-coil domain containing 25</v>
      </c>
      <c r="J566" t="str">
        <f>"protein coding gene"</f>
        <v>protein coding gene</v>
      </c>
    </row>
    <row r="567" spans="1:10">
      <c r="A567">
        <v>10601192</v>
      </c>
      <c r="B567">
        <v>2.1367453452745901</v>
      </c>
      <c r="C567">
        <v>0.29751718872627397</v>
      </c>
      <c r="E567" t="str">
        <f>"10601192"</f>
        <v>10601192</v>
      </c>
      <c r="F567" t="str">
        <f t="shared" si="40"/>
        <v>Affy 1.0 ST</v>
      </c>
      <c r="G567" t="str">
        <f>"MGI:1336878"</f>
        <v>MGI:1336878</v>
      </c>
      <c r="H567" t="str">
        <f>"Taf1"</f>
        <v>Taf1</v>
      </c>
      <c r="I567" t="s">
        <v>1982</v>
      </c>
      <c r="J567" t="s">
        <v>2010</v>
      </c>
    </row>
    <row r="568" spans="1:10">
      <c r="A568">
        <v>10521337</v>
      </c>
      <c r="B568">
        <v>2.1359118282327501</v>
      </c>
      <c r="C568">
        <v>0.42944563317890999</v>
      </c>
      <c r="E568" t="str">
        <f>"10521337"</f>
        <v>10521337</v>
      </c>
      <c r="F568" t="str">
        <f t="shared" si="40"/>
        <v>Affy 1.0 ST</v>
      </c>
      <c r="G568" t="str">
        <f>"MGI:1918979"</f>
        <v>MGI:1918979</v>
      </c>
      <c r="H568" t="str">
        <f>"Rgs12"</f>
        <v>Rgs12</v>
      </c>
      <c r="I568" t="str">
        <f>"regulator of G-protein signaling 12"</f>
        <v>regulator of G-protein signaling 12</v>
      </c>
      <c r="J568" t="str">
        <f>"protein coding gene"</f>
        <v>protein coding gene</v>
      </c>
    </row>
    <row r="569" spans="1:10">
      <c r="A569">
        <v>10471608</v>
      </c>
      <c r="B569">
        <v>2.1357089742483502</v>
      </c>
      <c r="C569">
        <v>0.461502359172348</v>
      </c>
      <c r="E569" t="str">
        <f>"10471608"</f>
        <v>10471608</v>
      </c>
      <c r="F569" t="str">
        <f t="shared" si="40"/>
        <v>Affy 1.0 ST</v>
      </c>
      <c r="G569" t="str">
        <f>"MGI:1889576"</f>
        <v>MGI:1889576</v>
      </c>
      <c r="H569" t="str">
        <f>"Cep110"</f>
        <v>Cep110</v>
      </c>
      <c r="I569" t="str">
        <f>"centrosomal protein 110"</f>
        <v>centrosomal protein 110</v>
      </c>
      <c r="J569" t="str">
        <f>"protein coding gene"</f>
        <v>protein coding gene</v>
      </c>
    </row>
    <row r="570" spans="1:10">
      <c r="A570">
        <v>10545379</v>
      </c>
      <c r="B570">
        <v>2.1352446724759102</v>
      </c>
      <c r="C570">
        <v>0.44109806227484</v>
      </c>
      <c r="E570" t="str">
        <f>"10545379"</f>
        <v>10545379</v>
      </c>
      <c r="F570" t="str">
        <f t="shared" si="40"/>
        <v>Affy 1.0 ST</v>
      </c>
      <c r="G570" t="str">
        <f>"MGI:107622"</f>
        <v>MGI:107622</v>
      </c>
      <c r="H570" t="str">
        <f>"Usp39"</f>
        <v>Usp39</v>
      </c>
      <c r="I570" t="str">
        <f>"ubiquitin specific peptidase 39"</f>
        <v>ubiquitin specific peptidase 39</v>
      </c>
      <c r="J570" t="str">
        <f>"protein coding gene"</f>
        <v>protein coding gene</v>
      </c>
    </row>
    <row r="571" spans="1:10">
      <c r="A571">
        <v>10381462</v>
      </c>
      <c r="B571">
        <v>2.1351192367768799</v>
      </c>
      <c r="C571">
        <v>0.23660564586590699</v>
      </c>
      <c r="E571" t="str">
        <f>"10381462"</f>
        <v>10381462</v>
      </c>
      <c r="F571" t="str">
        <f t="shared" si="40"/>
        <v>Affy 1.0 ST</v>
      </c>
      <c r="G571" t="str">
        <f>"MGI:1913849"</f>
        <v>MGI:1913849</v>
      </c>
      <c r="H571" t="str">
        <f>"Rdm1"</f>
        <v>Rdm1</v>
      </c>
      <c r="I571" t="str">
        <f>"RAD52 motif 1"</f>
        <v>RAD52 motif 1</v>
      </c>
      <c r="J571" t="str">
        <f>"protein coding gene"</f>
        <v>protein coding gene</v>
      </c>
    </row>
    <row r="572" spans="1:10">
      <c r="A572">
        <v>10453544</v>
      </c>
      <c r="B572">
        <v>2.1310899613412202</v>
      </c>
      <c r="C572">
        <v>0.313380302671185</v>
      </c>
      <c r="E572" t="str">
        <f>"10453544"</f>
        <v>10453544</v>
      </c>
      <c r="F572" t="str">
        <f t="shared" si="40"/>
        <v>Affy 1.0 ST</v>
      </c>
      <c r="G572" t="str">
        <f>"MGI:1924031"</f>
        <v>MGI:1924031</v>
      </c>
      <c r="H572" t="str">
        <f>"Mettl4"</f>
        <v>Mettl4</v>
      </c>
      <c r="I572" t="str">
        <f>"methyltransferase like 4"</f>
        <v>methyltransferase like 4</v>
      </c>
      <c r="J572" t="str">
        <f>"protein coding gene"</f>
        <v>protein coding gene</v>
      </c>
    </row>
    <row r="573" spans="1:10">
      <c r="A573">
        <v>10518361</v>
      </c>
      <c r="B573">
        <v>2.1294948049623299</v>
      </c>
      <c r="C573">
        <v>0.41687523896017797</v>
      </c>
      <c r="E573" t="str">
        <f>"10518361"</f>
        <v>10518361</v>
      </c>
      <c r="F573" t="str">
        <f t="shared" si="40"/>
        <v>Affy 1.0 ST</v>
      </c>
      <c r="G573" t="str">
        <f>"MGI:2443330"</f>
        <v>MGI:2443330</v>
      </c>
      <c r="H573" t="str">
        <f>"Vmn2r-ps14"</f>
        <v>Vmn2r-ps14</v>
      </c>
      <c r="I573" t="s">
        <v>1894</v>
      </c>
      <c r="J573" t="s">
        <v>2015</v>
      </c>
    </row>
    <row r="574" spans="1:10">
      <c r="A574">
        <v>10540227</v>
      </c>
      <c r="B574">
        <v>2.1237506502169201</v>
      </c>
      <c r="C574">
        <v>0.459473622684133</v>
      </c>
      <c r="E574" t="str">
        <f>"10540227"</f>
        <v>10540227</v>
      </c>
      <c r="F574" t="str">
        <f t="shared" si="40"/>
        <v>Affy 1.0 ST</v>
      </c>
      <c r="G574" t="str">
        <f>"MGI:2661430"</f>
        <v>MGI:2661430</v>
      </c>
      <c r="H574" t="str">
        <f>"Kbtbd8"</f>
        <v>Kbtbd8</v>
      </c>
      <c r="I574" t="str">
        <f>"kelch repeat and BTB (POZ) domain containing 8"</f>
        <v>kelch repeat and BTB (POZ) domain containing 8</v>
      </c>
      <c r="J574" t="str">
        <f>"protein coding gene"</f>
        <v>protein coding gene</v>
      </c>
    </row>
    <row r="575" spans="1:10">
      <c r="A575">
        <v>10606714</v>
      </c>
      <c r="B575">
        <v>2.1209347449048601</v>
      </c>
      <c r="C575">
        <v>0.34191454724867298</v>
      </c>
      <c r="E575" t="str">
        <f>"10606714"</f>
        <v>10606714</v>
      </c>
      <c r="F575" t="str">
        <f t="shared" si="40"/>
        <v>Affy 1.0 ST</v>
      </c>
      <c r="G575" t="str">
        <f>"MGI:1347344"</f>
        <v>MGI:1347344</v>
      </c>
      <c r="H575" t="str">
        <f>"Gla"</f>
        <v>Gla</v>
      </c>
      <c r="I575" t="s">
        <v>1983</v>
      </c>
      <c r="J575" t="s">
        <v>2010</v>
      </c>
    </row>
    <row r="576" spans="1:10">
      <c r="A576">
        <v>10555576</v>
      </c>
      <c r="B576">
        <v>2.11870376092345</v>
      </c>
      <c r="C576">
        <v>0.27177919710138398</v>
      </c>
      <c r="E576" t="str">
        <f>"10555576"</f>
        <v>10555576</v>
      </c>
      <c r="F576" t="str">
        <f t="shared" si="40"/>
        <v>Affy 1.0 ST</v>
      </c>
      <c r="G576" t="str">
        <f>"MGI:1922680"</f>
        <v>MGI:1922680</v>
      </c>
      <c r="H576" t="str">
        <f>"3200002M19Rik"</f>
        <v>3200002M19Rik</v>
      </c>
      <c r="I576" t="str">
        <f>"RIKEN cDNA 3200002M19 gene"</f>
        <v>RIKEN cDNA 3200002M19 gene</v>
      </c>
      <c r="J576" t="str">
        <f>"protein coding gene"</f>
        <v>protein coding gene</v>
      </c>
    </row>
    <row r="577" spans="1:10">
      <c r="A577">
        <v>10353219</v>
      </c>
      <c r="B577">
        <v>2.1178663123875801</v>
      </c>
      <c r="C577">
        <v>4.2281496365262003E-2</v>
      </c>
      <c r="E577" t="str">
        <f>"10353219"</f>
        <v>10353219</v>
      </c>
      <c r="F577" t="str">
        <f t="shared" si="40"/>
        <v>Affy 1.0 ST</v>
      </c>
      <c r="G577" t="str">
        <f>"MGI:2158813"</f>
        <v>MGI:2158813</v>
      </c>
      <c r="H577" t="str">
        <f>"Sumo2"</f>
        <v>Sumo2</v>
      </c>
      <c r="I577" t="str">
        <f>"SMT3 suppressor of mif two 3 homolog 2 (yeast)"</f>
        <v>SMT3 suppressor of mif two 3 homolog 2 (yeast)</v>
      </c>
      <c r="J577" t="str">
        <f>"protein coding gene"</f>
        <v>protein coding gene</v>
      </c>
    </row>
    <row r="578" spans="1:10">
      <c r="A578">
        <v>10458138</v>
      </c>
      <c r="B578">
        <v>2.1164726286911102</v>
      </c>
      <c r="C578">
        <v>0.25008742898957498</v>
      </c>
      <c r="E578" t="str">
        <f>"10458138"</f>
        <v>10458138</v>
      </c>
      <c r="F578" t="str">
        <f t="shared" si="40"/>
        <v>Affy 1.0 ST</v>
      </c>
      <c r="G578" t="str">
        <f>"MGI:1925906"</f>
        <v>MGI:1925906</v>
      </c>
      <c r="H578" t="str">
        <f>"Brd8"</f>
        <v>Brd8</v>
      </c>
      <c r="I578" t="str">
        <f>"bromodomain containing 8"</f>
        <v>bromodomain containing 8</v>
      </c>
      <c r="J578" t="str">
        <f>"protein coding gene"</f>
        <v>protein coding gene</v>
      </c>
    </row>
    <row r="579" spans="1:10">
      <c r="A579">
        <v>10575550</v>
      </c>
      <c r="B579">
        <v>2.1158138462134</v>
      </c>
      <c r="C579">
        <v>0.54590259307676903</v>
      </c>
      <c r="E579" t="str">
        <f>"10575550"</f>
        <v>10575550</v>
      </c>
      <c r="F579" t="str">
        <f t="shared" si="40"/>
        <v>Affy 1.0 ST</v>
      </c>
      <c r="G579" t="str">
        <f>"MGI:2384560"</f>
        <v>MGI:2384560</v>
      </c>
      <c r="H579" t="str">
        <f>"Aars"</f>
        <v>Aars</v>
      </c>
      <c r="I579" t="str">
        <f>"alanyl-tRNA synthetase"</f>
        <v>alanyl-tRNA synthetase</v>
      </c>
      <c r="J579" t="str">
        <f>"protein coding gene"</f>
        <v>protein coding gene</v>
      </c>
    </row>
    <row r="580" spans="1:10">
      <c r="A580">
        <v>10409322</v>
      </c>
      <c r="B580">
        <v>2.1120844476789902</v>
      </c>
      <c r="C580">
        <v>0.53994482719993497</v>
      </c>
      <c r="E580" t="str">
        <f>"10409322"</f>
        <v>10409322</v>
      </c>
      <c r="F580" t="str">
        <f t="shared" si="40"/>
        <v>Affy 1.0 ST</v>
      </c>
      <c r="G580" t="str">
        <f>"MGI:1920916"</f>
        <v>MGI:1920916</v>
      </c>
      <c r="H580" t="str">
        <f>"Thoc3"</f>
        <v>Thoc3</v>
      </c>
      <c r="I580" t="str">
        <f>"THO complex 3"</f>
        <v>THO complex 3</v>
      </c>
      <c r="J580" t="str">
        <f>"protein coding gene"</f>
        <v>protein coding gene</v>
      </c>
    </row>
    <row r="581" spans="1:10">
      <c r="A581">
        <v>10601471</v>
      </c>
      <c r="B581">
        <v>2.10862056911441</v>
      </c>
      <c r="C581">
        <v>0.32960202359808299</v>
      </c>
      <c r="E581" t="str">
        <f>"10601471"</f>
        <v>10601471</v>
      </c>
      <c r="F581" t="str">
        <f t="shared" si="40"/>
        <v>Affy 1.0 ST</v>
      </c>
      <c r="G581" t="str">
        <f>"MGI:3642996"</f>
        <v>MGI:3642996</v>
      </c>
      <c r="H581" t="str">
        <f>"Gm5393"</f>
        <v>Gm5393</v>
      </c>
      <c r="I581" t="str">
        <f>"predicted pseudogene 5393"</f>
        <v>predicted pseudogene 5393</v>
      </c>
      <c r="J581" t="str">
        <f>"pseudogene"</f>
        <v>pseudogene</v>
      </c>
    </row>
    <row r="582" spans="1:10">
      <c r="A582">
        <v>10360460</v>
      </c>
      <c r="B582">
        <v>2.1072021967371102</v>
      </c>
      <c r="C582">
        <v>7.2202534298620599E-2</v>
      </c>
      <c r="E582" t="str">
        <f>"10360460"</f>
        <v>10360460</v>
      </c>
      <c r="F582" t="str">
        <f t="shared" si="40"/>
        <v>Affy 1.0 ST</v>
      </c>
      <c r="G582" t="str">
        <f>"MGI:101913"</f>
        <v>MGI:101913</v>
      </c>
      <c r="H582" t="str">
        <f>"Chml"</f>
        <v>Chml</v>
      </c>
      <c r="I582" t="str">
        <f>"choroideremia-like"</f>
        <v>choroideremia-like</v>
      </c>
      <c r="J582" t="str">
        <f>"protein coding gene"</f>
        <v>protein coding gene</v>
      </c>
    </row>
    <row r="583" spans="1:10">
      <c r="A583">
        <v>10397741</v>
      </c>
      <c r="B583">
        <v>2.1069875627661498</v>
      </c>
      <c r="C583">
        <v>0.14478387873662699</v>
      </c>
      <c r="E583" t="str">
        <f>"10397741"</f>
        <v>10397741</v>
      </c>
      <c r="F583" t="str">
        <f t="shared" si="40"/>
        <v>Affy 1.0 ST</v>
      </c>
      <c r="G583" t="str">
        <f>"MGI:106054"</f>
        <v>MGI:106054</v>
      </c>
      <c r="H583" t="str">
        <f>"Psmc1"</f>
        <v>Psmc1</v>
      </c>
      <c r="I583" t="s">
        <v>1980</v>
      </c>
      <c r="J583" t="s">
        <v>2010</v>
      </c>
    </row>
    <row r="584" spans="1:10">
      <c r="A584">
        <v>10456439</v>
      </c>
      <c r="B584">
        <v>2.10375858401577</v>
      </c>
      <c r="C584">
        <v>0.50267091685648502</v>
      </c>
      <c r="E584" t="str">
        <f>"10456439"</f>
        <v>10456439</v>
      </c>
      <c r="F584" t="str">
        <f t="shared" si="40"/>
        <v>Affy 1.0 ST</v>
      </c>
      <c r="G584" t="str">
        <f>"MGI:1918049"</f>
        <v>MGI:1918049</v>
      </c>
      <c r="H584" t="str">
        <f>"Cep192"</f>
        <v>Cep192</v>
      </c>
      <c r="I584" t="str">
        <f>"centrosomal protein 192"</f>
        <v>centrosomal protein 192</v>
      </c>
      <c r="J584" t="str">
        <f>"protein coding gene"</f>
        <v>protein coding gene</v>
      </c>
    </row>
    <row r="585" spans="1:10">
      <c r="A585">
        <v>10500304</v>
      </c>
      <c r="B585">
        <v>2.10222151986284</v>
      </c>
      <c r="C585">
        <v>0.27009703820930803</v>
      </c>
      <c r="E585" t="str">
        <f>"10500304"</f>
        <v>10500304</v>
      </c>
      <c r="F585" t="str">
        <f t="shared" si="40"/>
        <v>Affy 1.0 ST</v>
      </c>
      <c r="G585" t="str">
        <f>"MGI:891965"</f>
        <v>MGI:891965</v>
      </c>
      <c r="H585" t="str">
        <f>"Vps45"</f>
        <v>Vps45</v>
      </c>
      <c r="I585" t="str">
        <f>"vacuolar protein sorting 45 (yeast)"</f>
        <v>vacuolar protein sorting 45 (yeast)</v>
      </c>
      <c r="J585" t="str">
        <f>"protein coding gene"</f>
        <v>protein coding gene</v>
      </c>
    </row>
    <row r="586" spans="1:10">
      <c r="A586">
        <v>10451123</v>
      </c>
      <c r="B586">
        <v>2.1018489032578098</v>
      </c>
      <c r="C586">
        <v>0.46018263912962099</v>
      </c>
      <c r="E586" t="str">
        <f>"10451123"</f>
        <v>10451123</v>
      </c>
      <c r="F586" t="str">
        <f t="shared" si="40"/>
        <v>Affy 1.0 ST</v>
      </c>
      <c r="G586" t="str">
        <f>"MGI:1927073"</f>
        <v>MGI:1927073</v>
      </c>
      <c r="H586" t="str">
        <f>"Slc29a1"</f>
        <v>Slc29a1</v>
      </c>
      <c r="I586" t="s">
        <v>1984</v>
      </c>
      <c r="J586" t="s">
        <v>2010</v>
      </c>
    </row>
    <row r="587" spans="1:10">
      <c r="A587">
        <v>10339650</v>
      </c>
      <c r="B587">
        <v>2.1002689558216701</v>
      </c>
      <c r="C587">
        <v>0.17648978330749601</v>
      </c>
      <c r="E587" t="str">
        <f>"10339650"</f>
        <v>10339650</v>
      </c>
      <c r="F587" t="str">
        <f>""</f>
        <v/>
      </c>
      <c r="G587" t="str">
        <f>"No associated gene"</f>
        <v>No associated gene</v>
      </c>
    </row>
    <row r="588" spans="1:10">
      <c r="A588">
        <v>10602062</v>
      </c>
      <c r="B588">
        <v>2.0955182232853402</v>
      </c>
      <c r="C588">
        <v>0.31314352363534698</v>
      </c>
      <c r="E588" t="str">
        <f>"10602062"</f>
        <v>10602062</v>
      </c>
      <c r="F588" t="str">
        <f>"Affy 1.0 ST"</f>
        <v>Affy 1.0 ST</v>
      </c>
      <c r="G588" t="str">
        <f>"MGI:97775"</f>
        <v>MGI:97775</v>
      </c>
      <c r="H588" t="str">
        <f>"Prps1"</f>
        <v>Prps1</v>
      </c>
      <c r="I588" t="str">
        <f>"phosphoribosyl pyrophosphate synthetase 1"</f>
        <v>phosphoribosyl pyrophosphate synthetase 1</v>
      </c>
      <c r="J588" t="str">
        <f>"protein coding gene"</f>
        <v>protein coding gene</v>
      </c>
    </row>
    <row r="589" spans="1:10">
      <c r="A589">
        <v>10492679</v>
      </c>
      <c r="B589">
        <v>2.0931757617080402</v>
      </c>
      <c r="C589">
        <v>0.191970776725507</v>
      </c>
      <c r="E589" t="str">
        <f>"10492679"</f>
        <v>10492679</v>
      </c>
      <c r="F589" t="str">
        <f>"Affy 1.0 ST"</f>
        <v>Affy 1.0 ST</v>
      </c>
      <c r="G589" t="str">
        <f>"MGI:1923189"</f>
        <v>MGI:1923189</v>
      </c>
      <c r="H589" t="str">
        <f>"4930579G24Rik"</f>
        <v>4930579G24Rik</v>
      </c>
      <c r="I589" t="str">
        <f>"RIKEN cDNA 4930579G24 gene"</f>
        <v>RIKEN cDNA 4930579G24 gene</v>
      </c>
      <c r="J589" t="str">
        <f>"protein coding gene"</f>
        <v>protein coding gene</v>
      </c>
    </row>
    <row r="590" spans="1:10">
      <c r="A590">
        <v>10465604</v>
      </c>
      <c r="B590">
        <v>2.0885315854494801</v>
      </c>
      <c r="C590">
        <v>0.30443956883144002</v>
      </c>
      <c r="E590" t="str">
        <f>"10465604"</f>
        <v>10465604</v>
      </c>
      <c r="F590" t="str">
        <f>"Affy 1.0 ST"</f>
        <v>Affy 1.0 ST</v>
      </c>
      <c r="G590" t="str">
        <f>"MGI:109130"</f>
        <v>MGI:109130</v>
      </c>
      <c r="H590" t="str">
        <f>"Stip1"</f>
        <v>Stip1</v>
      </c>
      <c r="I590" t="str">
        <f>"stress-induced phosphoprotein 1"</f>
        <v>stress-induced phosphoprotein 1</v>
      </c>
      <c r="J590" t="str">
        <f>"protein coding gene"</f>
        <v>protein coding gene</v>
      </c>
    </row>
    <row r="591" spans="1:10">
      <c r="A591">
        <v>10380751</v>
      </c>
      <c r="B591">
        <v>2.0837140156538498</v>
      </c>
      <c r="C591">
        <v>0.50155090118821399</v>
      </c>
      <c r="E591" t="str">
        <f>"10380751"</f>
        <v>10380751</v>
      </c>
      <c r="F591" t="str">
        <f>"Affy 1.0 ST"</f>
        <v>Affy 1.0 ST</v>
      </c>
      <c r="G591" t="str">
        <f>"MGI:1914286"</f>
        <v>MGI:1914286</v>
      </c>
      <c r="H591" t="str">
        <f>"Mrpl45"</f>
        <v>Mrpl45</v>
      </c>
      <c r="I591" t="str">
        <f>"mitochondrial ribosomal protein L45"</f>
        <v>mitochondrial ribosomal protein L45</v>
      </c>
      <c r="J591" t="str">
        <f>"protein coding gene"</f>
        <v>protein coding gene</v>
      </c>
    </row>
    <row r="592" spans="1:10">
      <c r="A592">
        <v>10469712</v>
      </c>
      <c r="B592">
        <v>2.0809569741051099</v>
      </c>
      <c r="C592">
        <v>0.45714902717433797</v>
      </c>
      <c r="E592" t="str">
        <f>"10469712"</f>
        <v>10469712</v>
      </c>
      <c r="F592" t="str">
        <f>"Affy 1.0 ST"</f>
        <v>Affy 1.0 ST</v>
      </c>
      <c r="G592" t="str">
        <f>"MGI:1889278"</f>
        <v>MGI:1889278</v>
      </c>
      <c r="H592" t="str">
        <f>"Pdss1"</f>
        <v>Pdss1</v>
      </c>
      <c r="I592" t="s">
        <v>1904</v>
      </c>
      <c r="J592" t="s">
        <v>2010</v>
      </c>
    </row>
    <row r="593" spans="1:10">
      <c r="A593">
        <v>10340055</v>
      </c>
      <c r="B593">
        <v>2.0800724404555799</v>
      </c>
      <c r="C593">
        <v>0.33042917908101999</v>
      </c>
      <c r="E593" t="str">
        <f>"10340055"</f>
        <v>10340055</v>
      </c>
      <c r="F593" t="str">
        <f>""</f>
        <v/>
      </c>
      <c r="G593" t="str">
        <f>"No associated gene"</f>
        <v>No associated gene</v>
      </c>
    </row>
    <row r="594" spans="1:10">
      <c r="A594">
        <v>10392012</v>
      </c>
      <c r="B594">
        <v>2.0791217772161898</v>
      </c>
      <c r="C594">
        <v>0.272404411752591</v>
      </c>
      <c r="E594" t="str">
        <f>"10392012"</f>
        <v>10392012</v>
      </c>
      <c r="F594" t="str">
        <f t="shared" ref="F594:F604" si="41">"Affy 1.0 ST"</f>
        <v>Affy 1.0 ST</v>
      </c>
      <c r="G594" t="str">
        <f>"MGI:102685"</f>
        <v>MGI:102685</v>
      </c>
      <c r="H594" t="str">
        <f>"Cdc27"</f>
        <v>Cdc27</v>
      </c>
      <c r="I594" t="str">
        <f>"cell division cycle 27 homolog (S. cerevisiae)"</f>
        <v>cell division cycle 27 homolog (S. cerevisiae)</v>
      </c>
      <c r="J594" t="str">
        <f>"protein coding gene"</f>
        <v>protein coding gene</v>
      </c>
    </row>
    <row r="595" spans="1:10">
      <c r="A595">
        <v>10412011</v>
      </c>
      <c r="B595">
        <v>2.0783138528066001</v>
      </c>
      <c r="C595">
        <v>0.57923682405083499</v>
      </c>
      <c r="E595" t="str">
        <f>"10412011"</f>
        <v>10412011</v>
      </c>
      <c r="F595" t="str">
        <f t="shared" si="41"/>
        <v>Affy 1.0 ST</v>
      </c>
      <c r="G595" t="str">
        <f>"MGI:108390"</f>
        <v>MGI:108390</v>
      </c>
      <c r="H595" t="str">
        <f>"Kif2a"</f>
        <v>Kif2a</v>
      </c>
      <c r="I595" t="str">
        <f>"kinesin family member 2A"</f>
        <v>kinesin family member 2A</v>
      </c>
      <c r="J595" t="str">
        <f>"protein coding gene"</f>
        <v>protein coding gene</v>
      </c>
    </row>
    <row r="596" spans="1:10">
      <c r="A596">
        <v>10403938</v>
      </c>
      <c r="B596">
        <v>2.0781677823778701</v>
      </c>
      <c r="C596">
        <v>0.18709316540687301</v>
      </c>
      <c r="E596" t="str">
        <f>"10403938"</f>
        <v>10403938</v>
      </c>
      <c r="F596" t="str">
        <f t="shared" si="41"/>
        <v>Affy 1.0 ST</v>
      </c>
      <c r="G596" t="str">
        <f>"MGI:3710573"</f>
        <v>MGI:3710573</v>
      </c>
      <c r="H596" t="str">
        <f>"Hist1h2ap"</f>
        <v>Hist1h2ap</v>
      </c>
      <c r="I596" t="s">
        <v>2029</v>
      </c>
      <c r="J596" t="s">
        <v>2010</v>
      </c>
    </row>
    <row r="597" spans="1:10">
      <c r="A597">
        <v>10581111</v>
      </c>
      <c r="B597">
        <v>2.0730083222588398</v>
      </c>
      <c r="C597">
        <v>0.32580833650027402</v>
      </c>
      <c r="E597" t="str">
        <f>"10581111"</f>
        <v>10581111</v>
      </c>
      <c r="F597" t="str">
        <f t="shared" si="41"/>
        <v>Affy 1.0 ST</v>
      </c>
      <c r="G597" t="str">
        <f>"MGI:2384561"</f>
        <v>MGI:2384561</v>
      </c>
      <c r="H597" t="str">
        <f>"Nae1"</f>
        <v>Nae1</v>
      </c>
      <c r="I597" t="str">
        <f>"NEDD8 activating enzyme E1 subunit 1"</f>
        <v>NEDD8 activating enzyme E1 subunit 1</v>
      </c>
      <c r="J597" t="str">
        <f>"protein coding gene"</f>
        <v>protein coding gene</v>
      </c>
    </row>
    <row r="598" spans="1:10">
      <c r="A598">
        <v>10407390</v>
      </c>
      <c r="B598">
        <v>2.0700567546196602</v>
      </c>
      <c r="C598">
        <v>0.15843363875802599</v>
      </c>
      <c r="E598" t="str">
        <f>"10407390"</f>
        <v>10407390</v>
      </c>
      <c r="F598" t="str">
        <f t="shared" si="41"/>
        <v>Affy 1.0 ST</v>
      </c>
      <c r="G598" t="str">
        <f>"MGI:97791"</f>
        <v>MGI:97791</v>
      </c>
      <c r="H598" t="str">
        <f>"Ptbp1"</f>
        <v>Ptbp1</v>
      </c>
      <c r="I598" t="str">
        <f>"polypyrimidine tract binding protein 1"</f>
        <v>polypyrimidine tract binding protein 1</v>
      </c>
      <c r="J598" t="str">
        <f>"protein coding gene"</f>
        <v>protein coding gene</v>
      </c>
    </row>
    <row r="599" spans="1:10">
      <c r="A599">
        <v>10506822</v>
      </c>
      <c r="B599">
        <v>2.0678892889054601</v>
      </c>
      <c r="C599">
        <v>0.36707996720888703</v>
      </c>
      <c r="E599" t="str">
        <f>"10506822"</f>
        <v>10506822</v>
      </c>
      <c r="F599" t="str">
        <f t="shared" si="41"/>
        <v>Affy 1.0 ST</v>
      </c>
      <c r="G599" t="str">
        <f>"MGI:1328337"</f>
        <v>MGI:1328337</v>
      </c>
      <c r="H599" t="str">
        <f>"Orc1"</f>
        <v>Orc1</v>
      </c>
      <c r="I599" t="s">
        <v>2068</v>
      </c>
      <c r="J599" t="s">
        <v>2010</v>
      </c>
    </row>
    <row r="600" spans="1:10">
      <c r="A600">
        <v>10379968</v>
      </c>
      <c r="B600">
        <v>2.0673707020102698</v>
      </c>
      <c r="C600">
        <v>0.23422513704171299</v>
      </c>
      <c r="E600" t="str">
        <f>"10379968"</f>
        <v>10379968</v>
      </c>
      <c r="F600" t="str">
        <f t="shared" si="41"/>
        <v>Affy 1.0 ST</v>
      </c>
      <c r="G600" t="str">
        <f>"MGI:1891826"</f>
        <v>MGI:1891826</v>
      </c>
      <c r="H600" t="str">
        <f>"Tubd1"</f>
        <v>Tubd1</v>
      </c>
      <c r="I600" t="s">
        <v>1905</v>
      </c>
      <c r="J600" t="s">
        <v>2010</v>
      </c>
    </row>
    <row r="601" spans="1:10">
      <c r="A601">
        <v>10465005</v>
      </c>
      <c r="B601">
        <v>2.06659618867609</v>
      </c>
      <c r="C601">
        <v>0.42135901385313501</v>
      </c>
      <c r="E601" t="str">
        <f>"10465005"</f>
        <v>10465005</v>
      </c>
      <c r="F601" t="str">
        <f t="shared" si="41"/>
        <v>Affy 1.0 ST</v>
      </c>
      <c r="G601" t="str">
        <f>"MGI:1346330"</f>
        <v>MGI:1346330</v>
      </c>
      <c r="H601" t="str">
        <f>"Banf1"</f>
        <v>Banf1</v>
      </c>
      <c r="I601" t="str">
        <f>"barrier to autointegration factor 1"</f>
        <v>barrier to autointegration factor 1</v>
      </c>
      <c r="J601" t="str">
        <f>"protein coding gene"</f>
        <v>protein coding gene</v>
      </c>
    </row>
    <row r="602" spans="1:10">
      <c r="A602">
        <v>10547492</v>
      </c>
      <c r="B602">
        <v>2.0644772228802202</v>
      </c>
      <c r="C602">
        <v>0.40042889227934902</v>
      </c>
      <c r="E602" t="str">
        <f>"10547492"</f>
        <v>10547492</v>
      </c>
      <c r="F602" t="str">
        <f t="shared" si="41"/>
        <v>Affy 1.0 ST</v>
      </c>
      <c r="G602" t="str">
        <f>"MGI:1914450"</f>
        <v>MGI:1914450</v>
      </c>
      <c r="H602" t="str">
        <f>"Ccdc77"</f>
        <v>Ccdc77</v>
      </c>
      <c r="I602" t="str">
        <f>"coiled-coil domain containing 77"</f>
        <v>coiled-coil domain containing 77</v>
      </c>
      <c r="J602" t="str">
        <f>"protein coding gene"</f>
        <v>protein coding gene</v>
      </c>
    </row>
    <row r="603" spans="1:10">
      <c r="A603">
        <v>10360324</v>
      </c>
      <c r="B603">
        <v>2.0637111687130698</v>
      </c>
      <c r="C603">
        <v>0.21302736747138501</v>
      </c>
      <c r="E603" t="str">
        <f>"10360324"</f>
        <v>10360324</v>
      </c>
      <c r="F603" t="str">
        <f t="shared" si="41"/>
        <v>Affy 1.0 ST</v>
      </c>
      <c r="G603" t="str">
        <f>"MGI:3780879"</f>
        <v>MGI:3780879</v>
      </c>
      <c r="H603" t="str">
        <f>"Gm2710"</f>
        <v>Gm2710</v>
      </c>
      <c r="I603" t="str">
        <f>"predicted gene 2710"</f>
        <v>predicted gene 2710</v>
      </c>
      <c r="J603" t="str">
        <f>"pseudogene"</f>
        <v>pseudogene</v>
      </c>
    </row>
    <row r="604" spans="1:10">
      <c r="A604">
        <v>10571288</v>
      </c>
      <c r="B604">
        <v>2.0635943802857701</v>
      </c>
      <c r="C604">
        <v>0.36564515525318497</v>
      </c>
      <c r="E604" t="str">
        <f>"10571288"</f>
        <v>10571288</v>
      </c>
      <c r="F604" t="str">
        <f t="shared" si="41"/>
        <v>Affy 1.0 ST</v>
      </c>
      <c r="G604" t="str">
        <f>"MGI:1915403"</f>
        <v>MGI:1915403</v>
      </c>
      <c r="H604" t="str">
        <f>"Gtf2e2"</f>
        <v>Gtf2e2</v>
      </c>
      <c r="I604" t="s">
        <v>1906</v>
      </c>
      <c r="J604" t="s">
        <v>2010</v>
      </c>
    </row>
    <row r="605" spans="1:10">
      <c r="A605">
        <v>10338231</v>
      </c>
      <c r="B605">
        <v>2.0632432649431101</v>
      </c>
      <c r="C605">
        <v>0.416185567769563</v>
      </c>
      <c r="E605" t="str">
        <f>"10338231"</f>
        <v>10338231</v>
      </c>
      <c r="F605" t="str">
        <f>""</f>
        <v/>
      </c>
      <c r="G605" t="str">
        <f>"No associated gene"</f>
        <v>No associated gene</v>
      </c>
    </row>
    <row r="606" spans="1:10">
      <c r="A606">
        <v>10556764</v>
      </c>
      <c r="B606">
        <v>2.0581459812618901</v>
      </c>
      <c r="C606">
        <v>0.489530897042459</v>
      </c>
      <c r="E606" t="str">
        <f>"10556764"</f>
        <v>10556764</v>
      </c>
      <c r="F606" t="str">
        <f>"Affy 1.0 ST"</f>
        <v>Affy 1.0 ST</v>
      </c>
      <c r="G606" t="str">
        <f>"MGI:104872"</f>
        <v>MGI:104872</v>
      </c>
      <c r="H606" t="str">
        <f>"Ppp1cc"</f>
        <v>Ppp1cc</v>
      </c>
      <c r="I606" t="s">
        <v>1907</v>
      </c>
      <c r="J606" t="s">
        <v>2010</v>
      </c>
    </row>
    <row r="607" spans="1:10">
      <c r="A607">
        <v>10340379</v>
      </c>
      <c r="B607">
        <v>2.0534511110403502</v>
      </c>
      <c r="C607">
        <v>0.43608875739805197</v>
      </c>
      <c r="E607" t="str">
        <f>"10340379"</f>
        <v>10340379</v>
      </c>
      <c r="F607" t="str">
        <f>""</f>
        <v/>
      </c>
      <c r="G607" t="str">
        <f>"No associated gene"</f>
        <v>No associated gene</v>
      </c>
    </row>
    <row r="608" spans="1:10">
      <c r="A608">
        <v>10379346</v>
      </c>
      <c r="B608">
        <v>2.0458747897507901</v>
      </c>
      <c r="C608">
        <v>0.29081339243571103</v>
      </c>
      <c r="E608" t="str">
        <f>"10379346"</f>
        <v>10379346</v>
      </c>
      <c r="F608" t="str">
        <f>"Affy 1.0 ST"</f>
        <v>Affy 1.0 ST</v>
      </c>
      <c r="G608" t="str">
        <f>"MGI:1261758"</f>
        <v>MGI:1261758</v>
      </c>
      <c r="H608" t="str">
        <f>"Suz12"</f>
        <v>Suz12</v>
      </c>
      <c r="I608" t="str">
        <f>"suppressor of zeste 12 homolog (Drosophila)"</f>
        <v>suppressor of zeste 12 homolog (Drosophila)</v>
      </c>
      <c r="J608" t="str">
        <f>"protein coding gene"</f>
        <v>protein coding gene</v>
      </c>
    </row>
    <row r="609" spans="1:10">
      <c r="A609">
        <v>10464819</v>
      </c>
      <c r="B609">
        <v>2.0431498857638499</v>
      </c>
      <c r="C609">
        <v>0.204740530684758</v>
      </c>
      <c r="E609" t="str">
        <f>"10464819"</f>
        <v>10464819</v>
      </c>
      <c r="F609" t="str">
        <f>"Affy 1.0 ST"</f>
        <v>Affy 1.0 ST</v>
      </c>
      <c r="G609" t="str">
        <f>"MGI:1929092"</f>
        <v>MGI:1929092</v>
      </c>
      <c r="H609" t="str">
        <f>"Rbm14"</f>
        <v>Rbm14</v>
      </c>
      <c r="I609" t="str">
        <f>"RNA binding motif protein 14"</f>
        <v>RNA binding motif protein 14</v>
      </c>
      <c r="J609" t="str">
        <f>"protein coding gene"</f>
        <v>protein coding gene</v>
      </c>
    </row>
    <row r="610" spans="1:10">
      <c r="A610">
        <v>10342475</v>
      </c>
      <c r="B610">
        <v>2.0413695859260299</v>
      </c>
      <c r="C610">
        <v>0.227519479307975</v>
      </c>
      <c r="E610" t="str">
        <f>"10342475"</f>
        <v>10342475</v>
      </c>
      <c r="F610" t="str">
        <f>""</f>
        <v/>
      </c>
      <c r="G610" t="str">
        <f>"No associated gene"</f>
        <v>No associated gene</v>
      </c>
    </row>
    <row r="611" spans="1:10">
      <c r="A611">
        <v>10388409</v>
      </c>
      <c r="B611">
        <v>2.0412194144795501</v>
      </c>
      <c r="C611">
        <v>0.22631262531871399</v>
      </c>
      <c r="E611" t="str">
        <f>"10388409"</f>
        <v>10388409</v>
      </c>
      <c r="F611" t="str">
        <f t="shared" ref="F611:F621" si="42">"Affy 1.0 ST"</f>
        <v>Affy 1.0 ST</v>
      </c>
      <c r="G611" t="str">
        <f>"MGI:1915525"</f>
        <v>MGI:1915525</v>
      </c>
      <c r="H611" t="str">
        <f>"Rpa1"</f>
        <v>Rpa1</v>
      </c>
      <c r="I611" t="str">
        <f>"replication protein A1"</f>
        <v>replication protein A1</v>
      </c>
      <c r="J611" t="str">
        <f t="shared" ref="J611:J618" si="43">"protein coding gene"</f>
        <v>protein coding gene</v>
      </c>
    </row>
    <row r="612" spans="1:10">
      <c r="A612">
        <v>10371830</v>
      </c>
      <c r="B612">
        <v>2.03917251574862</v>
      </c>
      <c r="C612">
        <v>0.28246581627524903</v>
      </c>
      <c r="E612" t="str">
        <f>"10371830"</f>
        <v>10371830</v>
      </c>
      <c r="F612" t="str">
        <f t="shared" si="42"/>
        <v>Affy 1.0 ST</v>
      </c>
      <c r="G612" t="str">
        <f>"MGI:1914269"</f>
        <v>MGI:1914269</v>
      </c>
      <c r="H612" t="str">
        <f>"Actr6"</f>
        <v>Actr6</v>
      </c>
      <c r="I612" t="str">
        <f>"ARP6 actin-related protein 6 homolog (yeast)"</f>
        <v>ARP6 actin-related protein 6 homolog (yeast)</v>
      </c>
      <c r="J612" t="str">
        <f t="shared" si="43"/>
        <v>protein coding gene</v>
      </c>
    </row>
    <row r="613" spans="1:10">
      <c r="A613">
        <v>10603508</v>
      </c>
      <c r="B613">
        <v>2.0386830941771801</v>
      </c>
      <c r="C613">
        <v>7.0503524348275906E-2</v>
      </c>
      <c r="E613" t="str">
        <f>"10603508"</f>
        <v>10603508</v>
      </c>
      <c r="F613" t="str">
        <f t="shared" si="42"/>
        <v>Affy 1.0 ST</v>
      </c>
      <c r="G613" t="str">
        <f>"MGI:1859648"</f>
        <v>MGI:1859648</v>
      </c>
      <c r="H613" t="str">
        <f>"Ftsj1"</f>
        <v>Ftsj1</v>
      </c>
      <c r="I613" t="str">
        <f>"FtsJ homolog 1 (E. coli)"</f>
        <v>FtsJ homolog 1 (E. coli)</v>
      </c>
      <c r="J613" t="str">
        <f t="shared" si="43"/>
        <v>protein coding gene</v>
      </c>
    </row>
    <row r="614" spans="1:10">
      <c r="A614">
        <v>10473650</v>
      </c>
      <c r="B614">
        <v>2.0359505215670199</v>
      </c>
      <c r="C614">
        <v>0.34868370659872799</v>
      </c>
      <c r="E614" t="str">
        <f>"10473650"</f>
        <v>10473650</v>
      </c>
      <c r="F614" t="str">
        <f t="shared" si="42"/>
        <v>Affy 1.0 ST</v>
      </c>
      <c r="G614" t="str">
        <f>"MGI:1926227"</f>
        <v>MGI:1926227</v>
      </c>
      <c r="H614" t="str">
        <f>"Nup160"</f>
        <v>Nup160</v>
      </c>
      <c r="I614" t="str">
        <f>"nucleoporin 160"</f>
        <v>nucleoporin 160</v>
      </c>
      <c r="J614" t="str">
        <f t="shared" si="43"/>
        <v>protein coding gene</v>
      </c>
    </row>
    <row r="615" spans="1:10">
      <c r="A615">
        <v>10457118</v>
      </c>
      <c r="B615">
        <v>2.0342963696532399</v>
      </c>
      <c r="C615">
        <v>0.35734068950572001</v>
      </c>
      <c r="E615" t="str">
        <f>"10457118"</f>
        <v>10457118</v>
      </c>
      <c r="F615" t="str">
        <f t="shared" si="42"/>
        <v>Affy 1.0 ST</v>
      </c>
      <c r="G615" t="str">
        <f>"MGI:2179288"</f>
        <v>MGI:2179288</v>
      </c>
      <c r="H615" t="str">
        <f>"Rttn"</f>
        <v>Rttn</v>
      </c>
      <c r="I615" t="str">
        <f>"rotatin"</f>
        <v>rotatin</v>
      </c>
      <c r="J615" t="str">
        <f t="shared" si="43"/>
        <v>protein coding gene</v>
      </c>
    </row>
    <row r="616" spans="1:10">
      <c r="A616">
        <v>10384322</v>
      </c>
      <c r="B616">
        <v>2.0342056932159398</v>
      </c>
      <c r="C616">
        <v>0.47769601907079901</v>
      </c>
      <c r="E616" t="str">
        <f>"10384322"</f>
        <v>10384322</v>
      </c>
      <c r="F616" t="str">
        <f t="shared" si="42"/>
        <v>Affy 1.0 ST</v>
      </c>
      <c r="G616" t="str">
        <f>"MGI:1277962"</f>
        <v>MGI:1277962</v>
      </c>
      <c r="H616" t="str">
        <f>"Hus1"</f>
        <v>Hus1</v>
      </c>
      <c r="I616" t="str">
        <f>"Hus1 homolog (S. pombe)"</f>
        <v>Hus1 homolog (S. pombe)</v>
      </c>
      <c r="J616" t="str">
        <f t="shared" si="43"/>
        <v>protein coding gene</v>
      </c>
    </row>
    <row r="617" spans="1:10">
      <c r="A617">
        <v>10373530</v>
      </c>
      <c r="B617">
        <v>2.0320342748206102</v>
      </c>
      <c r="C617">
        <v>0.47161543702097702</v>
      </c>
      <c r="E617" t="str">
        <f>"10373530"</f>
        <v>10373530</v>
      </c>
      <c r="F617" t="str">
        <f t="shared" si="42"/>
        <v>Affy 1.0 ST</v>
      </c>
      <c r="G617" t="str">
        <f>"MGI:104772"</f>
        <v>MGI:104772</v>
      </c>
      <c r="H617" t="str">
        <f>"Cdk2"</f>
        <v>Cdk2</v>
      </c>
      <c r="I617" t="str">
        <f>"cyclin-dependent kinase 2"</f>
        <v>cyclin-dependent kinase 2</v>
      </c>
      <c r="J617" t="str">
        <f t="shared" si="43"/>
        <v>protein coding gene</v>
      </c>
    </row>
    <row r="618" spans="1:10">
      <c r="A618">
        <v>10549473</v>
      </c>
      <c r="B618">
        <v>2.03007729976899</v>
      </c>
      <c r="C618">
        <v>0.40510287096078101</v>
      </c>
      <c r="E618" t="str">
        <f>"10549473"</f>
        <v>10549473</v>
      </c>
      <c r="F618" t="str">
        <f t="shared" si="42"/>
        <v>Affy 1.0 ST</v>
      </c>
      <c r="G618" t="str">
        <f>"MGI:2448541"</f>
        <v>MGI:2448541</v>
      </c>
      <c r="H618" t="str">
        <f>"Caprin2"</f>
        <v>Caprin2</v>
      </c>
      <c r="I618" t="str">
        <f>"caprin family member 2"</f>
        <v>caprin family member 2</v>
      </c>
      <c r="J618" t="str">
        <f t="shared" si="43"/>
        <v>protein coding gene</v>
      </c>
    </row>
    <row r="619" spans="1:10">
      <c r="A619">
        <v>10359190</v>
      </c>
      <c r="B619">
        <v>2.0289149943496101</v>
      </c>
      <c r="C619">
        <v>0.24253772125230799</v>
      </c>
      <c r="E619" t="str">
        <f>"10359190"</f>
        <v>10359190</v>
      </c>
      <c r="F619" t="str">
        <f t="shared" si="42"/>
        <v>Affy 1.0 ST</v>
      </c>
      <c r="G619" t="str">
        <f>"MGI:2443990"</f>
        <v>MGI:2443990</v>
      </c>
      <c r="H619" t="str">
        <f>"Fam20b"</f>
        <v>Fam20b</v>
      </c>
      <c r="I619" t="s">
        <v>1908</v>
      </c>
      <c r="J619" t="s">
        <v>2010</v>
      </c>
    </row>
    <row r="620" spans="1:10">
      <c r="A620">
        <v>10441107</v>
      </c>
      <c r="B620">
        <v>2.0288200232661699</v>
      </c>
      <c r="C620">
        <v>0.38072923436707701</v>
      </c>
      <c r="E620" t="str">
        <f>"10441107"</f>
        <v>10441107</v>
      </c>
      <c r="F620" t="str">
        <f t="shared" si="42"/>
        <v>Affy 1.0 ST</v>
      </c>
      <c r="G620" t="str">
        <f>"MGI:1860263"</f>
        <v>MGI:1860263</v>
      </c>
      <c r="H620" t="str">
        <f>"Psmg1"</f>
        <v>Psmg1</v>
      </c>
      <c r="I620" t="s">
        <v>1909</v>
      </c>
      <c r="J620" t="s">
        <v>2010</v>
      </c>
    </row>
    <row r="621" spans="1:10">
      <c r="A621">
        <v>10526319</v>
      </c>
      <c r="B621">
        <v>2.0277324783048001</v>
      </c>
      <c r="C621">
        <v>0.41920300951283501</v>
      </c>
      <c r="E621" t="str">
        <f>"10526319"</f>
        <v>10526319</v>
      </c>
      <c r="F621" t="str">
        <f t="shared" si="42"/>
        <v>Affy 1.0 ST</v>
      </c>
      <c r="G621" t="str">
        <f>"MGI:1353499"</f>
        <v>MGI:1353499</v>
      </c>
      <c r="H621" t="str">
        <f>"Baz1b"</f>
        <v>Baz1b</v>
      </c>
      <c r="I621" t="s">
        <v>1910</v>
      </c>
      <c r="J621" t="s">
        <v>2010</v>
      </c>
    </row>
    <row r="622" spans="1:10">
      <c r="A622">
        <v>10440591</v>
      </c>
      <c r="B622">
        <v>2.0253589866428401</v>
      </c>
      <c r="C622">
        <v>0.42086326712292099</v>
      </c>
      <c r="E622" t="str">
        <f>"10440591"</f>
        <v>10440591</v>
      </c>
      <c r="F622" t="str">
        <f>""</f>
        <v/>
      </c>
      <c r="G622" t="str">
        <f>"No associated gene"</f>
        <v>No associated gene</v>
      </c>
    </row>
    <row r="623" spans="1:10">
      <c r="A623">
        <v>10496796</v>
      </c>
      <c r="B623">
        <v>2.0250149488371001</v>
      </c>
      <c r="C623">
        <v>0.130703420353664</v>
      </c>
      <c r="E623" t="str">
        <f>"10496796"</f>
        <v>10496796</v>
      </c>
      <c r="F623" t="str">
        <f>"Affy 1.0 ST"</f>
        <v>Affy 1.0 ST</v>
      </c>
      <c r="G623" t="str">
        <f>"MGI:2139150"</f>
        <v>MGI:2139150</v>
      </c>
      <c r="H623" t="str">
        <f>"Ssx2ip"</f>
        <v>Ssx2ip</v>
      </c>
      <c r="I623" t="s">
        <v>1911</v>
      </c>
      <c r="J623" t="s">
        <v>2010</v>
      </c>
    </row>
    <row r="624" spans="1:10">
      <c r="A624">
        <v>10350504</v>
      </c>
      <c r="B624">
        <v>2.01972139686087</v>
      </c>
      <c r="C624">
        <v>0.49356129860085701</v>
      </c>
      <c r="E624" t="str">
        <f>"10350504"</f>
        <v>10350504</v>
      </c>
      <c r="F624" t="str">
        <f>""</f>
        <v/>
      </c>
      <c r="G624" t="str">
        <f>"No associated gene"</f>
        <v>No associated gene</v>
      </c>
    </row>
    <row r="625" spans="1:10">
      <c r="A625">
        <v>10448127</v>
      </c>
      <c r="B625">
        <v>2.0193473312428498</v>
      </c>
      <c r="C625">
        <v>0.18714941017155801</v>
      </c>
      <c r="E625" t="str">
        <f>"10448127"</f>
        <v>10448127</v>
      </c>
      <c r="F625" t="str">
        <f>"Affy 1.0 ST"</f>
        <v>Affy 1.0 ST</v>
      </c>
      <c r="G625" t="str">
        <f>"MGI:107443"</f>
        <v>MGI:107443</v>
      </c>
      <c r="H625" t="str">
        <f>"Fpr1"</f>
        <v>Fpr1</v>
      </c>
      <c r="I625" t="str">
        <f>"formyl peptide receptor 1"</f>
        <v>formyl peptide receptor 1</v>
      </c>
      <c r="J625" t="str">
        <f>"protein coding gene"</f>
        <v>protein coding gene</v>
      </c>
    </row>
    <row r="626" spans="1:10">
      <c r="A626">
        <v>10572870</v>
      </c>
      <c r="B626">
        <v>2.0192396258003802</v>
      </c>
      <c r="C626">
        <v>0.27513800140019201</v>
      </c>
      <c r="E626" t="str">
        <f>"10572870"</f>
        <v>10572870</v>
      </c>
      <c r="F626" t="str">
        <f>"Affy 1.0 ST"</f>
        <v>Affy 1.0 ST</v>
      </c>
      <c r="G626" t="str">
        <f>"MGI:1918073"</f>
        <v>MGI:1918073</v>
      </c>
      <c r="H626" t="str">
        <f>"Hmgxb4"</f>
        <v>Hmgxb4</v>
      </c>
      <c r="I626" t="str">
        <f>"HMG box domain containing 4"</f>
        <v>HMG box domain containing 4</v>
      </c>
      <c r="J626" t="str">
        <f>"protein coding gene"</f>
        <v>protein coding gene</v>
      </c>
    </row>
    <row r="627" spans="1:10">
      <c r="A627">
        <v>10605195</v>
      </c>
      <c r="B627">
        <v>2.0191752684776301</v>
      </c>
      <c r="C627">
        <v>0.39793365565477201</v>
      </c>
      <c r="E627" t="str">
        <f>"10605195"</f>
        <v>10605195</v>
      </c>
      <c r="F627" t="str">
        <f>"Affy 1.0 ST"</f>
        <v>Affy 1.0 ST</v>
      </c>
      <c r="G627" t="str">
        <f>"MGI:105942"</f>
        <v>MGI:105942</v>
      </c>
      <c r="H627" t="str">
        <f>"Hcfc1"</f>
        <v>Hcfc1</v>
      </c>
      <c r="I627" t="str">
        <f>"host cell factor C1"</f>
        <v>host cell factor C1</v>
      </c>
      <c r="J627" t="str">
        <f>"protein coding gene"</f>
        <v>protein coding gene</v>
      </c>
    </row>
    <row r="628" spans="1:10">
      <c r="A628">
        <v>10356461</v>
      </c>
      <c r="B628">
        <v>2.0191117162654701</v>
      </c>
      <c r="C628">
        <v>0.37014429324507198</v>
      </c>
      <c r="E628" t="str">
        <f>"10356461"</f>
        <v>10356461</v>
      </c>
      <c r="F628" t="str">
        <f>"Affy 1.0 ST"</f>
        <v>Affy 1.0 ST</v>
      </c>
      <c r="G628" t="str">
        <f>"MGI:2685821"</f>
        <v>MGI:2685821</v>
      </c>
      <c r="H628" t="str">
        <f>"Hjurp"</f>
        <v>Hjurp</v>
      </c>
      <c r="I628" t="str">
        <f>"Holliday junction recognition protein"</f>
        <v>Holliday junction recognition protein</v>
      </c>
      <c r="J628" t="str">
        <f>"protein coding gene"</f>
        <v>protein coding gene</v>
      </c>
    </row>
    <row r="629" spans="1:10">
      <c r="A629">
        <v>10528172</v>
      </c>
      <c r="B629">
        <v>2.0181017739824498</v>
      </c>
      <c r="C629">
        <v>0.31006658115819502</v>
      </c>
      <c r="E629" t="str">
        <f>"10528172"</f>
        <v>10528172</v>
      </c>
      <c r="F629" t="str">
        <f>""</f>
        <v/>
      </c>
      <c r="G629" t="str">
        <f>"No associated gene"</f>
        <v>No associated gene</v>
      </c>
    </row>
    <row r="630" spans="1:10">
      <c r="A630">
        <v>10452118</v>
      </c>
      <c r="B630">
        <v>2.01634340848309</v>
      </c>
      <c r="C630">
        <v>0.44881167743130301</v>
      </c>
      <c r="E630" t="str">
        <f>"10452118"</f>
        <v>10452118</v>
      </c>
      <c r="F630" t="str">
        <f>"Affy 1.0 ST"</f>
        <v>Affy 1.0 ST</v>
      </c>
      <c r="G630" t="str">
        <f>"MGI:1921392"</f>
        <v>MGI:1921392</v>
      </c>
      <c r="H630" t="str">
        <f>"Lonp1"</f>
        <v>Lonp1</v>
      </c>
      <c r="I630" t="s">
        <v>1993</v>
      </c>
      <c r="J630" t="s">
        <v>2010</v>
      </c>
    </row>
    <row r="631" spans="1:10">
      <c r="A631">
        <v>10343640</v>
      </c>
      <c r="B631">
        <v>2.0163150039973501</v>
      </c>
      <c r="C631">
        <v>0.18122661845362201</v>
      </c>
      <c r="E631" t="str">
        <f>"10343640"</f>
        <v>10343640</v>
      </c>
      <c r="F631" t="str">
        <f>""</f>
        <v/>
      </c>
      <c r="G631" t="str">
        <f>"No associated gene"</f>
        <v>No associated gene</v>
      </c>
    </row>
    <row r="632" spans="1:10">
      <c r="A632">
        <v>10362974</v>
      </c>
      <c r="B632">
        <v>2.0157584613014099</v>
      </c>
      <c r="C632">
        <v>0.163650037431566</v>
      </c>
      <c r="E632" t="str">
        <f>"10362974"</f>
        <v>10362974</v>
      </c>
      <c r="F632" t="str">
        <f>"Affy 1.0 ST"</f>
        <v>Affy 1.0 ST</v>
      </c>
      <c r="G632" t="str">
        <f>"MGI:2446110"</f>
        <v>MGI:2446110</v>
      </c>
      <c r="H632" t="str">
        <f>"Hace1"</f>
        <v>Hace1</v>
      </c>
      <c r="I632" t="s">
        <v>1994</v>
      </c>
      <c r="J632" t="s">
        <v>2010</v>
      </c>
    </row>
    <row r="633" spans="1:10">
      <c r="A633">
        <v>10523856</v>
      </c>
      <c r="B633">
        <v>2.0152741454026599</v>
      </c>
      <c r="C633">
        <v>0.18911172971929299</v>
      </c>
      <c r="E633" t="str">
        <f>"10523856"</f>
        <v>10523856</v>
      </c>
      <c r="F633" t="str">
        <f>""</f>
        <v/>
      </c>
      <c r="G633" t="str">
        <f>"No associated gene"</f>
        <v>No associated gene</v>
      </c>
    </row>
    <row r="634" spans="1:10">
      <c r="A634">
        <v>10604405</v>
      </c>
      <c r="B634">
        <v>2.0149955967019602</v>
      </c>
      <c r="C634">
        <v>0.33035572628370302</v>
      </c>
      <c r="E634" t="str">
        <f>"10604405"</f>
        <v>10604405</v>
      </c>
      <c r="F634" t="str">
        <f>"Affy 1.0 ST"</f>
        <v>Affy 1.0 ST</v>
      </c>
      <c r="G634" t="str">
        <f>"MGI:1349419"</f>
        <v>MGI:1349419</v>
      </c>
      <c r="H634" t="str">
        <f>"Aifm1"</f>
        <v>Aifm1</v>
      </c>
      <c r="I634" t="s">
        <v>1995</v>
      </c>
      <c r="J634" t="s">
        <v>2010</v>
      </c>
    </row>
    <row r="635" spans="1:10">
      <c r="A635">
        <v>10344813</v>
      </c>
      <c r="B635">
        <v>2.0122977440687699</v>
      </c>
      <c r="C635">
        <v>0.22059968154479001</v>
      </c>
      <c r="E635" t="str">
        <f>"10344813"</f>
        <v>10344813</v>
      </c>
      <c r="F635" t="str">
        <f>"Affy 1.0 ST"</f>
        <v>Affy 1.0 ST</v>
      </c>
      <c r="G635" t="str">
        <f>"MGI:2681832"</f>
        <v>MGI:2681832</v>
      </c>
      <c r="H635" t="str">
        <f>"Cspp1"</f>
        <v>Cspp1</v>
      </c>
      <c r="I635" t="str">
        <f>"centrosome and spindle pole associated protein 1"</f>
        <v>centrosome and spindle pole associated protein 1</v>
      </c>
      <c r="J635" t="str">
        <f>"protein coding gene"</f>
        <v>protein coding gene</v>
      </c>
    </row>
    <row r="636" spans="1:10">
      <c r="A636">
        <v>10458398</v>
      </c>
      <c r="B636">
        <v>2.0105851077273198</v>
      </c>
      <c r="C636">
        <v>0.25192430044657199</v>
      </c>
      <c r="E636" t="str">
        <f>"10458398"</f>
        <v>10458398</v>
      </c>
      <c r="F636" t="str">
        <f>"Affy 1.0 ST"</f>
        <v>Affy 1.0 ST</v>
      </c>
      <c r="G636" t="str">
        <f>"MGI:108087"</f>
        <v>MGI:108087</v>
      </c>
      <c r="H636" t="str">
        <f>"Hars"</f>
        <v>Hars</v>
      </c>
      <c r="I636" t="str">
        <f>"histidyl-tRNA synthetase"</f>
        <v>histidyl-tRNA synthetase</v>
      </c>
      <c r="J636" t="str">
        <f>"protein coding gene"</f>
        <v>protein coding gene</v>
      </c>
    </row>
    <row r="637" spans="1:10">
      <c r="A637">
        <v>10389010</v>
      </c>
      <c r="B637">
        <v>2.0033007836380201</v>
      </c>
      <c r="C637">
        <v>3.06877975937342E-2</v>
      </c>
      <c r="E637" t="str">
        <f>"10389010"</f>
        <v>10389010</v>
      </c>
      <c r="F637" t="str">
        <f>"Affy 1.0 ST"</f>
        <v>Affy 1.0 ST</v>
      </c>
      <c r="G637" t="str">
        <f>"MGI:1917841"</f>
        <v>MGI:1917841</v>
      </c>
      <c r="H637" t="str">
        <f>"5730455P16Rik"</f>
        <v>5730455P16Rik</v>
      </c>
      <c r="I637" t="str">
        <f>"RIKEN cDNA 5730455P16 gene"</f>
        <v>RIKEN cDNA 5730455P16 gene</v>
      </c>
      <c r="J637" t="str">
        <f>"protein coding gene"</f>
        <v>protein coding gene</v>
      </c>
    </row>
    <row r="638" spans="1:10">
      <c r="A638">
        <v>10602223</v>
      </c>
      <c r="B638">
        <v>2.00328956953209</v>
      </c>
      <c r="C638">
        <v>0.34831314993068202</v>
      </c>
      <c r="E638" t="str">
        <f>"10602223"</f>
        <v>10602223</v>
      </c>
      <c r="F638" t="str">
        <f>"Affy 1.0 ST"</f>
        <v>Affy 1.0 ST</v>
      </c>
      <c r="G638" t="str">
        <f>"MGI:1914824"</f>
        <v>MGI:1914824</v>
      </c>
      <c r="H638" t="str">
        <f>"Alg13"</f>
        <v>Alg13</v>
      </c>
      <c r="I638" t="str">
        <f>"asparagine-linked glycosylation 13 homolog (S. cerevisiae)"</f>
        <v>asparagine-linked glycosylation 13 homolog (S. cerevisiae)</v>
      </c>
      <c r="J638" t="str">
        <f>"protein coding gene"</f>
        <v>protein coding gene</v>
      </c>
    </row>
    <row r="639" spans="1:10">
      <c r="A639">
        <v>10340852</v>
      </c>
      <c r="B639">
        <v>2.0020033109452302</v>
      </c>
      <c r="C639">
        <v>0.20252996441172699</v>
      </c>
      <c r="E639" t="str">
        <f>"10340852"</f>
        <v>10340852</v>
      </c>
      <c r="F639" t="str">
        <f>""</f>
        <v/>
      </c>
      <c r="G639" t="str">
        <f>"No associated gene"</f>
        <v>No associated gene</v>
      </c>
    </row>
    <row r="640" spans="1:10">
      <c r="A640">
        <v>10344493</v>
      </c>
      <c r="B640">
        <v>2.0018463359227199</v>
      </c>
      <c r="C640">
        <v>5.77106157594783E-2</v>
      </c>
      <c r="E640" t="str">
        <f>"10344493"</f>
        <v>10344493</v>
      </c>
      <c r="F640" t="str">
        <f>""</f>
        <v/>
      </c>
      <c r="G640" t="str">
        <f>"No associated gene"</f>
        <v>No associated gene</v>
      </c>
    </row>
    <row r="641" spans="1:10">
      <c r="A641">
        <v>10598848</v>
      </c>
      <c r="B641">
        <v>1.9956941482066799</v>
      </c>
      <c r="C641">
        <v>0.41277897034058603</v>
      </c>
      <c r="E641" t="str">
        <f>"10598848"</f>
        <v>10598848</v>
      </c>
      <c r="F641" t="str">
        <f t="shared" ref="F641:F647" si="44">"Affy 1.0 ST"</f>
        <v>Affy 1.0 ST</v>
      </c>
      <c r="G641" t="str">
        <f>"MGI:2148019"</f>
        <v>MGI:2148019</v>
      </c>
      <c r="H641" t="str">
        <f>"Phf16"</f>
        <v>Phf16</v>
      </c>
      <c r="I641" t="str">
        <f>"PHD finger protein 16"</f>
        <v>PHD finger protein 16</v>
      </c>
      <c r="J641" t="str">
        <f>"protein coding gene"</f>
        <v>protein coding gene</v>
      </c>
    </row>
    <row r="642" spans="1:10">
      <c r="A642">
        <v>10475686</v>
      </c>
      <c r="B642">
        <v>1.9951688709095701</v>
      </c>
      <c r="C642">
        <v>0.448832505446906</v>
      </c>
      <c r="E642" t="str">
        <f>"10475686"</f>
        <v>10475686</v>
      </c>
      <c r="F642" t="str">
        <f t="shared" si="44"/>
        <v>Affy 1.0 ST</v>
      </c>
      <c r="G642" t="str">
        <f>"MGI:1336993"</f>
        <v>MGI:1336993</v>
      </c>
      <c r="H642" t="str">
        <f>"Ap4e1"</f>
        <v>Ap4e1</v>
      </c>
      <c r="I642" t="s">
        <v>1919</v>
      </c>
      <c r="J642" t="s">
        <v>2010</v>
      </c>
    </row>
    <row r="643" spans="1:10">
      <c r="A643">
        <v>10448707</v>
      </c>
      <c r="B643">
        <v>1.9925627754593001</v>
      </c>
      <c r="C643">
        <v>0.428458484263251</v>
      </c>
      <c r="E643" t="str">
        <f>"10448707"</f>
        <v>10448707</v>
      </c>
      <c r="F643" t="str">
        <f t="shared" si="44"/>
        <v>Affy 1.0 ST</v>
      </c>
      <c r="G643" t="str">
        <f>"MGI:2384863"</f>
        <v>MGI:2384863</v>
      </c>
      <c r="H643" t="str">
        <f>"Tbl3"</f>
        <v>Tbl3</v>
      </c>
      <c r="I643" t="str">
        <f>"transducin (beta)-like 3"</f>
        <v>transducin (beta)-like 3</v>
      </c>
      <c r="J643" t="str">
        <f>"protein coding gene"</f>
        <v>protein coding gene</v>
      </c>
    </row>
    <row r="644" spans="1:10">
      <c r="A644">
        <v>10420670</v>
      </c>
      <c r="B644">
        <v>1.99117454218968</v>
      </c>
      <c r="C644">
        <v>0.17520558761708499</v>
      </c>
      <c r="E644" t="str">
        <f>"10420670"</f>
        <v>10420670</v>
      </c>
      <c r="F644" t="str">
        <f t="shared" si="44"/>
        <v>Affy 1.0 ST</v>
      </c>
      <c r="G644" t="str">
        <f>"MGI:1934030"</f>
        <v>MGI:1934030</v>
      </c>
      <c r="H644" t="str">
        <f>"Dleu2"</f>
        <v>Dleu2</v>
      </c>
      <c r="I644" t="s">
        <v>1920</v>
      </c>
      <c r="J644" t="s">
        <v>1921</v>
      </c>
    </row>
    <row r="645" spans="1:10">
      <c r="A645">
        <v>10378024</v>
      </c>
      <c r="B645">
        <v>1.99100170040397</v>
      </c>
      <c r="C645">
        <v>0.42397527069942498</v>
      </c>
      <c r="E645" t="str">
        <f>"10378024"</f>
        <v>10378024</v>
      </c>
      <c r="F645" t="str">
        <f t="shared" si="44"/>
        <v>Affy 1.0 ST</v>
      </c>
      <c r="G645" t="str">
        <f>"MGI:1914389"</f>
        <v>MGI:1914389</v>
      </c>
      <c r="H645" t="str">
        <f>"Mis12"</f>
        <v>Mis12</v>
      </c>
      <c r="I645" t="str">
        <f>"MIS12 homolog (yeast)"</f>
        <v>MIS12 homolog (yeast)</v>
      </c>
      <c r="J645" t="str">
        <f>"protein coding gene"</f>
        <v>protein coding gene</v>
      </c>
    </row>
    <row r="646" spans="1:10">
      <c r="A646">
        <v>10562331</v>
      </c>
      <c r="B646">
        <v>1.98807033267716</v>
      </c>
      <c r="C646">
        <v>0.160035104870316</v>
      </c>
      <c r="E646" t="str">
        <f>"10562331"</f>
        <v>10562331</v>
      </c>
      <c r="F646" t="str">
        <f t="shared" si="44"/>
        <v>Affy 1.0 ST</v>
      </c>
      <c r="G646" t="str">
        <f>"MGI:1858313"</f>
        <v>MGI:1858313</v>
      </c>
      <c r="H646" t="str">
        <f>"Uba2"</f>
        <v>Uba2</v>
      </c>
      <c r="I646" t="str">
        <f>"ubiquitin-like modifier activating enzyme 2"</f>
        <v>ubiquitin-like modifier activating enzyme 2</v>
      </c>
      <c r="J646" t="str">
        <f>"protein coding gene"</f>
        <v>protein coding gene</v>
      </c>
    </row>
    <row r="647" spans="1:10">
      <c r="A647">
        <v>10468929</v>
      </c>
      <c r="B647">
        <v>1.9848208557346301</v>
      </c>
      <c r="C647">
        <v>0.37018991777128002</v>
      </c>
      <c r="E647" t="str">
        <f>"10468929"</f>
        <v>10468929</v>
      </c>
      <c r="F647" t="str">
        <f t="shared" si="44"/>
        <v>Affy 1.0 ST</v>
      </c>
      <c r="G647" t="str">
        <f>"MGI:1202298"</f>
        <v>MGI:1202298</v>
      </c>
      <c r="H647" t="str">
        <f>"Nmt2"</f>
        <v>Nmt2</v>
      </c>
      <c r="I647" t="str">
        <f>"N-myristoyltransferase 2"</f>
        <v>N-myristoyltransferase 2</v>
      </c>
      <c r="J647" t="str">
        <f>"protein coding gene"</f>
        <v>protein coding gene</v>
      </c>
    </row>
    <row r="648" spans="1:10">
      <c r="A648">
        <v>10343351</v>
      </c>
      <c r="B648">
        <v>1.9827845636606301</v>
      </c>
      <c r="C648">
        <v>3.7024757152297E-2</v>
      </c>
      <c r="E648" t="str">
        <f>"10343351"</f>
        <v>10343351</v>
      </c>
      <c r="F648" t="str">
        <f>""</f>
        <v/>
      </c>
      <c r="G648" t="str">
        <f>"No associated gene"</f>
        <v>No associated gene</v>
      </c>
    </row>
    <row r="649" spans="1:10">
      <c r="A649">
        <v>10385081</v>
      </c>
      <c r="B649">
        <v>1.9810144242202401</v>
      </c>
      <c r="C649">
        <v>0.24251966229904801</v>
      </c>
      <c r="E649" t="str">
        <f>"10385081"</f>
        <v>10385081</v>
      </c>
      <c r="F649" t="str">
        <f>"Affy 1.0 ST"</f>
        <v>Affy 1.0 ST</v>
      </c>
      <c r="G649" t="str">
        <f>"MGI:3525200"</f>
        <v>MGI:3525200</v>
      </c>
      <c r="H649" t="str">
        <f>"Anp32-ps"</f>
        <v>Anp32-ps</v>
      </c>
      <c r="I649" t="s">
        <v>1922</v>
      </c>
      <c r="J649" t="s">
        <v>2015</v>
      </c>
    </row>
    <row r="650" spans="1:10">
      <c r="A650">
        <v>10561958</v>
      </c>
      <c r="B650">
        <v>1.9805472220361999</v>
      </c>
      <c r="C650">
        <v>0.27636615354489502</v>
      </c>
      <c r="E650" t="str">
        <f>"10561958"</f>
        <v>10561958</v>
      </c>
      <c r="F650" t="str">
        <f>"Affy 1.0 ST"</f>
        <v>Affy 1.0 ST</v>
      </c>
      <c r="G650" t="str">
        <f>"MGI:2673998"</f>
        <v>MGI:2673998</v>
      </c>
      <c r="H650" t="str">
        <f>"Arhgap33"</f>
        <v>Arhgap33</v>
      </c>
      <c r="I650" t="str">
        <f>"Rho GTPase activating protein 33"</f>
        <v>Rho GTPase activating protein 33</v>
      </c>
      <c r="J650" t="str">
        <f>"protein coding gene"</f>
        <v>protein coding gene</v>
      </c>
    </row>
    <row r="651" spans="1:10">
      <c r="A651">
        <v>10515326</v>
      </c>
      <c r="B651">
        <v>1.97918932749981</v>
      </c>
      <c r="C651">
        <v>0.47155886653532297</v>
      </c>
      <c r="E651" t="str">
        <f>"10515326"</f>
        <v>10515326</v>
      </c>
      <c r="F651" t="str">
        <f>"Affy 1.0 ST"</f>
        <v>Affy 1.0 ST</v>
      </c>
      <c r="G651" t="str">
        <f>"MGI:3045357"</f>
        <v>MGI:3045357</v>
      </c>
      <c r="H651" t="str">
        <f>"Tmem69"</f>
        <v>Tmem69</v>
      </c>
      <c r="I651" t="str">
        <f>"transmembrane protein 69"</f>
        <v>transmembrane protein 69</v>
      </c>
      <c r="J651" t="str">
        <f>"protein coding gene"</f>
        <v>protein coding gene</v>
      </c>
    </row>
    <row r="652" spans="1:10">
      <c r="A652">
        <v>10420097</v>
      </c>
      <c r="B652">
        <v>1.97733857045961</v>
      </c>
      <c r="C652">
        <v>0.38130184680784501</v>
      </c>
      <c r="E652" t="str">
        <f>"10420097"</f>
        <v>10420097</v>
      </c>
      <c r="F652" t="str">
        <f>"Affy 1.0 ST"</f>
        <v>Affy 1.0 ST</v>
      </c>
      <c r="G652" t="str">
        <f>"MGI:107246"</f>
        <v>MGI:107246</v>
      </c>
      <c r="H652" t="str">
        <f>"Tinf2"</f>
        <v>Tinf2</v>
      </c>
      <c r="I652" t="str">
        <f>"Terf1 (TRF1)-interacting nuclear factor 2"</f>
        <v>Terf1 (TRF1)-interacting nuclear factor 2</v>
      </c>
      <c r="J652" t="str">
        <f>"protein coding gene"</f>
        <v>protein coding gene</v>
      </c>
    </row>
    <row r="653" spans="1:10">
      <c r="A653">
        <v>10444656</v>
      </c>
      <c r="B653">
        <v>1.9744277566627</v>
      </c>
      <c r="C653">
        <v>0.111502038105766</v>
      </c>
      <c r="E653" t="str">
        <f>"10444656"</f>
        <v>10444656</v>
      </c>
      <c r="F653" t="str">
        <f>""</f>
        <v/>
      </c>
      <c r="G653" t="str">
        <f>"No associated gene"</f>
        <v>No associated gene</v>
      </c>
    </row>
    <row r="654" spans="1:10">
      <c r="A654">
        <v>10590892</v>
      </c>
      <c r="B654">
        <v>1.9730875436690301</v>
      </c>
      <c r="C654">
        <v>0.26127117034029201</v>
      </c>
      <c r="E654" t="str">
        <f>"10590892"</f>
        <v>10590892</v>
      </c>
      <c r="F654" t="str">
        <f>"Affy 1.0 ST"</f>
        <v>Affy 1.0 ST</v>
      </c>
      <c r="G654" t="str">
        <f>"MGI:1915551"</f>
        <v>MGI:1915551</v>
      </c>
      <c r="H654" t="str">
        <f>"Cep57"</f>
        <v>Cep57</v>
      </c>
      <c r="I654" t="str">
        <f>"centrosomal protein 57"</f>
        <v>centrosomal protein 57</v>
      </c>
      <c r="J654" t="str">
        <f>"protein coding gene"</f>
        <v>protein coding gene</v>
      </c>
    </row>
    <row r="655" spans="1:10">
      <c r="A655">
        <v>10561356</v>
      </c>
      <c r="B655">
        <v>1.97231352875274</v>
      </c>
      <c r="C655">
        <v>4.6574086828980503E-2</v>
      </c>
      <c r="E655" t="str">
        <f>"10561356"</f>
        <v>10561356</v>
      </c>
      <c r="F655" t="str">
        <f>"Affy 1.0 ST"</f>
        <v>Affy 1.0 ST</v>
      </c>
      <c r="G655" t="str">
        <f>"MGI:1346093"</f>
        <v>MGI:1346093</v>
      </c>
      <c r="H655" t="str">
        <f>"Psmc4"</f>
        <v>Psmc4</v>
      </c>
      <c r="I655" t="s">
        <v>1999</v>
      </c>
      <c r="J655" t="s">
        <v>2010</v>
      </c>
    </row>
    <row r="656" spans="1:10">
      <c r="A656">
        <v>10343299</v>
      </c>
      <c r="B656">
        <v>1.9722186872904</v>
      </c>
      <c r="C656">
        <v>0.20811117965995299</v>
      </c>
      <c r="E656" t="str">
        <f>"10343299"</f>
        <v>10343299</v>
      </c>
      <c r="F656" t="str">
        <f>""</f>
        <v/>
      </c>
      <c r="G656" t="str">
        <f>"No associated gene"</f>
        <v>No associated gene</v>
      </c>
    </row>
    <row r="657" spans="1:10">
      <c r="A657">
        <v>10399430</v>
      </c>
      <c r="B657">
        <v>1.97058185215534</v>
      </c>
      <c r="C657">
        <v>0.35182781949782999</v>
      </c>
      <c r="E657" t="str">
        <f>"10399430"</f>
        <v>10399430</v>
      </c>
      <c r="F657" t="str">
        <f t="shared" ref="F657:F664" si="45">"Affy 1.0 ST"</f>
        <v>Affy 1.0 ST</v>
      </c>
      <c r="G657" t="str">
        <f>"MGI:2144727"</f>
        <v>MGI:2144727</v>
      </c>
      <c r="H657" t="str">
        <f>"Ddx1"</f>
        <v>Ddx1</v>
      </c>
      <c r="I657" t="str">
        <f>"DEAD (Asp-Glu-Ala-Asp) box polypeptide 1"</f>
        <v>DEAD (Asp-Glu-Ala-Asp) box polypeptide 1</v>
      </c>
      <c r="J657" t="str">
        <f>"protein coding gene"</f>
        <v>protein coding gene</v>
      </c>
    </row>
    <row r="658" spans="1:10">
      <c r="A658">
        <v>10387295</v>
      </c>
      <c r="B658">
        <v>1.96739074537992</v>
      </c>
      <c r="C658">
        <v>0.43244899080702798</v>
      </c>
      <c r="E658" t="str">
        <f>"10387295"</f>
        <v>10387295</v>
      </c>
      <c r="F658" t="str">
        <f t="shared" si="45"/>
        <v>Affy 1.0 ST</v>
      </c>
      <c r="G658" t="str">
        <f>"MGI:2443290"</f>
        <v>MGI:2443290</v>
      </c>
      <c r="H658" t="str">
        <f>"Cntrob"</f>
        <v>Cntrob</v>
      </c>
      <c r="I658" t="s">
        <v>2000</v>
      </c>
      <c r="J658" t="s">
        <v>2010</v>
      </c>
    </row>
    <row r="659" spans="1:10">
      <c r="A659">
        <v>10497325</v>
      </c>
      <c r="B659">
        <v>1.9653259386578299</v>
      </c>
      <c r="C659">
        <v>0.32543398282269698</v>
      </c>
      <c r="E659" t="str">
        <f>"10497325"</f>
        <v>10497325</v>
      </c>
      <c r="F659" t="str">
        <f t="shared" si="45"/>
        <v>Affy 1.0 ST</v>
      </c>
      <c r="G659" t="str">
        <f>"MGI:3648307"</f>
        <v>MGI:3648307</v>
      </c>
      <c r="H659" t="str">
        <f>"Gm5473"</f>
        <v>Gm5473</v>
      </c>
      <c r="I659" t="str">
        <f>"predicted pseudogene 5473"</f>
        <v>predicted pseudogene 5473</v>
      </c>
      <c r="J659" t="str">
        <f>"pseudogene"</f>
        <v>pseudogene</v>
      </c>
    </row>
    <row r="660" spans="1:10">
      <c r="A660">
        <v>10386442</v>
      </c>
      <c r="B660">
        <v>1.96522392778901</v>
      </c>
      <c r="C660">
        <v>0.39108195112335298</v>
      </c>
      <c r="E660" t="str">
        <f>"10386442"</f>
        <v>10386442</v>
      </c>
      <c r="F660" t="str">
        <f t="shared" si="45"/>
        <v>Affy 1.0 ST</v>
      </c>
      <c r="G660" t="str">
        <f>"MGI:1349409"</f>
        <v>MGI:1349409</v>
      </c>
      <c r="H660" t="str">
        <f>"Cops3"</f>
        <v>Cops3</v>
      </c>
      <c r="I660" t="s">
        <v>1928</v>
      </c>
      <c r="J660" t="s">
        <v>2010</v>
      </c>
    </row>
    <row r="661" spans="1:10">
      <c r="A661">
        <v>10354868</v>
      </c>
      <c r="B661">
        <v>1.9645818092490399</v>
      </c>
      <c r="C661">
        <v>0.144160296384472</v>
      </c>
      <c r="E661" t="str">
        <f>"10354868"</f>
        <v>10354868</v>
      </c>
      <c r="F661" t="str">
        <f t="shared" si="45"/>
        <v>Affy 1.0 ST</v>
      </c>
      <c r="G661" t="str">
        <f>"MGI:1098784"</f>
        <v>MGI:1098784</v>
      </c>
      <c r="H661" t="str">
        <f>"Fam126b"</f>
        <v>Fam126b</v>
      </c>
      <c r="I661" t="s">
        <v>1929</v>
      </c>
      <c r="J661" t="s">
        <v>2010</v>
      </c>
    </row>
    <row r="662" spans="1:10">
      <c r="A662">
        <v>10465638</v>
      </c>
      <c r="B662">
        <v>1.964004901304</v>
      </c>
      <c r="C662">
        <v>0.25355498623165101</v>
      </c>
      <c r="E662" t="str">
        <f>"10465638"</f>
        <v>10465638</v>
      </c>
      <c r="F662" t="str">
        <f t="shared" si="45"/>
        <v>Affy 1.0 ST</v>
      </c>
      <c r="G662" t="str">
        <f>"MGI:1918249"</f>
        <v>MGI:1918249</v>
      </c>
      <c r="H662" t="str">
        <f>"Naa40"</f>
        <v>Naa40</v>
      </c>
      <c r="I662" t="s">
        <v>2067</v>
      </c>
      <c r="J662" t="s">
        <v>2010</v>
      </c>
    </row>
    <row r="663" spans="1:10">
      <c r="A663">
        <v>10396778</v>
      </c>
      <c r="B663">
        <v>1.96388066587593</v>
      </c>
      <c r="C663">
        <v>0.17079977547031899</v>
      </c>
      <c r="E663" t="str">
        <f>"10396778"</f>
        <v>10396778</v>
      </c>
      <c r="F663" t="str">
        <f t="shared" si="45"/>
        <v>Affy 1.0 ST</v>
      </c>
      <c r="G663" t="str">
        <f>"MGI:1927339"</f>
        <v>MGI:1927339</v>
      </c>
      <c r="H663" t="str">
        <f>"Mpp5"</f>
        <v>Mpp5</v>
      </c>
      <c r="I663" t="s">
        <v>1930</v>
      </c>
      <c r="J663" t="s">
        <v>2010</v>
      </c>
    </row>
    <row r="664" spans="1:10">
      <c r="A664">
        <v>10506989</v>
      </c>
      <c r="B664">
        <v>1.9636251553040101</v>
      </c>
      <c r="C664">
        <v>0.319692603168931</v>
      </c>
      <c r="E664" t="str">
        <f>"10506989"</f>
        <v>10506989</v>
      </c>
      <c r="F664" t="str">
        <f t="shared" si="45"/>
        <v>Affy 1.0 ST</v>
      </c>
      <c r="G664" t="str">
        <f>"MGI:109419"</f>
        <v>MGI:109419</v>
      </c>
      <c r="H664" t="str">
        <f>"Faf1"</f>
        <v>Faf1</v>
      </c>
      <c r="I664" t="str">
        <f>"Fas-associated factor 1"</f>
        <v>Fas-associated factor 1</v>
      </c>
      <c r="J664" t="str">
        <f>"protein coding gene"</f>
        <v>protein coding gene</v>
      </c>
    </row>
    <row r="665" spans="1:10">
      <c r="A665">
        <v>10608720</v>
      </c>
      <c r="B665">
        <v>1.96296700052777</v>
      </c>
      <c r="C665">
        <v>0.32105232685806001</v>
      </c>
      <c r="E665" t="str">
        <f>"10608720"</f>
        <v>10608720</v>
      </c>
      <c r="F665" t="str">
        <f>""</f>
        <v/>
      </c>
      <c r="G665" t="str">
        <f>"No associated gene"</f>
        <v>No associated gene</v>
      </c>
    </row>
    <row r="666" spans="1:10">
      <c r="A666">
        <v>10342813</v>
      </c>
      <c r="B666">
        <v>1.9618852700524001</v>
      </c>
      <c r="C666">
        <v>0.16556768859080001</v>
      </c>
      <c r="E666" t="str">
        <f>"10342813"</f>
        <v>10342813</v>
      </c>
      <c r="F666" t="str">
        <f>""</f>
        <v/>
      </c>
      <c r="G666" t="str">
        <f>"No associated gene"</f>
        <v>No associated gene</v>
      </c>
    </row>
    <row r="667" spans="1:10">
      <c r="A667">
        <v>10521261</v>
      </c>
      <c r="B667">
        <v>1.95888722177331</v>
      </c>
      <c r="C667">
        <v>0.26107326244225498</v>
      </c>
      <c r="E667" t="str">
        <f>"10521261"</f>
        <v>10521261</v>
      </c>
      <c r="F667" t="str">
        <f>"Affy 1.0 ST"</f>
        <v>Affy 1.0 ST</v>
      </c>
      <c r="G667" t="str">
        <f>"MGI:96067"</f>
        <v>MGI:96067</v>
      </c>
      <c r="H667" t="str">
        <f>"Htt"</f>
        <v>Htt</v>
      </c>
      <c r="I667" t="str">
        <f>"huntingtin"</f>
        <v>huntingtin</v>
      </c>
      <c r="J667" t="str">
        <f>"protein coding gene"</f>
        <v>protein coding gene</v>
      </c>
    </row>
    <row r="668" spans="1:10">
      <c r="A668">
        <v>10603598</v>
      </c>
      <c r="B668">
        <v>1.9579660751253201</v>
      </c>
      <c r="C668">
        <v>0.24105699766768701</v>
      </c>
      <c r="E668" t="str">
        <f>"10603598"</f>
        <v>10603598</v>
      </c>
      <c r="F668" t="str">
        <f>"Affy 1.0 ST"</f>
        <v>Affy 1.0 ST</v>
      </c>
      <c r="G668" t="str">
        <f>"MGI:1344037"</f>
        <v>MGI:1344037</v>
      </c>
      <c r="H668" t="str">
        <f>"Rpgr"</f>
        <v>Rpgr</v>
      </c>
      <c r="I668" t="str">
        <f>"retinitis pigmentosa GTPase regulator"</f>
        <v>retinitis pigmentosa GTPase regulator</v>
      </c>
      <c r="J668" t="str">
        <f>"protein coding gene"</f>
        <v>protein coding gene</v>
      </c>
    </row>
    <row r="669" spans="1:10">
      <c r="A669">
        <v>10440564</v>
      </c>
      <c r="B669">
        <v>1.95796072986462</v>
      </c>
      <c r="C669">
        <v>0.250921631095609</v>
      </c>
      <c r="E669" t="str">
        <f>"10440564"</f>
        <v>10440564</v>
      </c>
      <c r="F669" t="str">
        <f>"Affy 1.0 ST"</f>
        <v>Affy 1.0 ST</v>
      </c>
      <c r="G669" t="str">
        <f>"MGI:1926163"</f>
        <v>MGI:1926163</v>
      </c>
      <c r="H669" t="str">
        <f>"Ltn1"</f>
        <v>Ltn1</v>
      </c>
      <c r="I669" t="str">
        <f>"listerin E3 ubiquitin protein ligase 1"</f>
        <v>listerin E3 ubiquitin protein ligase 1</v>
      </c>
      <c r="J669" t="str">
        <f>"protein coding gene"</f>
        <v>protein coding gene</v>
      </c>
    </row>
    <row r="670" spans="1:10">
      <c r="A670">
        <v>10371907</v>
      </c>
      <c r="B670">
        <v>1.9566897737148501</v>
      </c>
      <c r="C670">
        <v>0.347110771847218</v>
      </c>
      <c r="E670" t="str">
        <f>"10371907"</f>
        <v>10371907</v>
      </c>
      <c r="F670" t="str">
        <f>"Affy 1.0 ST"</f>
        <v>Affy 1.0 ST</v>
      </c>
      <c r="G670" t="str">
        <f>"MGI:97293"</f>
        <v>MGI:97293</v>
      </c>
      <c r="H670" t="str">
        <f>"Nedd1"</f>
        <v>Nedd1</v>
      </c>
      <c r="I670" t="s">
        <v>1931</v>
      </c>
      <c r="J670" t="s">
        <v>2010</v>
      </c>
    </row>
    <row r="671" spans="1:10">
      <c r="A671">
        <v>10530225</v>
      </c>
      <c r="B671">
        <v>1.9552333195157101</v>
      </c>
      <c r="C671">
        <v>0.41828214513904799</v>
      </c>
      <c r="E671" t="str">
        <f>"10530225"</f>
        <v>10530225</v>
      </c>
      <c r="F671" t="str">
        <f>"Affy 1.0 ST"</f>
        <v>Affy 1.0 ST</v>
      </c>
      <c r="G671" t="str">
        <f>"MGI:1918771"</f>
        <v>MGI:1918771</v>
      </c>
      <c r="H671" t="str">
        <f>"Pds5a"</f>
        <v>Pds5a</v>
      </c>
      <c r="I671" t="s">
        <v>1839</v>
      </c>
      <c r="J671" t="s">
        <v>2010</v>
      </c>
    </row>
    <row r="672" spans="1:10">
      <c r="A672">
        <v>10338354</v>
      </c>
      <c r="B672">
        <v>1.9541895813443899</v>
      </c>
      <c r="C672">
        <v>0.38618588239277701</v>
      </c>
      <c r="E672" t="str">
        <f>"10338354"</f>
        <v>10338354</v>
      </c>
      <c r="F672" t="str">
        <f>""</f>
        <v/>
      </c>
      <c r="G672" t="str">
        <f>"No associated gene"</f>
        <v>No associated gene</v>
      </c>
    </row>
    <row r="673" spans="1:10">
      <c r="A673">
        <v>10341269</v>
      </c>
      <c r="B673">
        <v>1.9541846693878899</v>
      </c>
      <c r="C673">
        <v>0.21176414736788601</v>
      </c>
      <c r="E673" t="str">
        <f>"10341269"</f>
        <v>10341269</v>
      </c>
      <c r="F673" t="str">
        <f>""</f>
        <v/>
      </c>
      <c r="G673" t="str">
        <f>"No associated gene"</f>
        <v>No associated gene</v>
      </c>
    </row>
    <row r="674" spans="1:10">
      <c r="A674">
        <v>10343788</v>
      </c>
      <c r="B674">
        <v>1.9506395727811601</v>
      </c>
      <c r="C674">
        <v>0.35725779255889301</v>
      </c>
      <c r="E674" t="str">
        <f>"10343788"</f>
        <v>10343788</v>
      </c>
      <c r="F674" t="str">
        <f>""</f>
        <v/>
      </c>
      <c r="G674" t="str">
        <f>"No associated gene"</f>
        <v>No associated gene</v>
      </c>
    </row>
    <row r="675" spans="1:10">
      <c r="A675">
        <v>10366026</v>
      </c>
      <c r="B675">
        <v>1.9499147071655301</v>
      </c>
      <c r="C675">
        <v>0.14027111152237601</v>
      </c>
      <c r="E675" t="str">
        <f>"10366026"</f>
        <v>10366026</v>
      </c>
      <c r="F675" t="str">
        <f t="shared" ref="F675:F683" si="46">"Affy 1.0 ST"</f>
        <v>Affy 1.0 ST</v>
      </c>
      <c r="G675" t="str">
        <f>"MGI:1918511"</f>
        <v>MGI:1918511</v>
      </c>
      <c r="H675" t="str">
        <f>"Poc1b"</f>
        <v>Poc1b</v>
      </c>
      <c r="I675" t="str">
        <f>"POC1 centriolar protein homolog B (Chlamydomonas)"</f>
        <v>POC1 centriolar protein homolog B (Chlamydomonas)</v>
      </c>
      <c r="J675" t="str">
        <f>"protein coding gene"</f>
        <v>protein coding gene</v>
      </c>
    </row>
    <row r="676" spans="1:10">
      <c r="A676">
        <v>10605711</v>
      </c>
      <c r="B676">
        <v>1.9474062683237601</v>
      </c>
      <c r="C676">
        <v>0.40130657409408399</v>
      </c>
      <c r="E676" t="str">
        <f>"10605711"</f>
        <v>10605711</v>
      </c>
      <c r="F676" t="str">
        <f t="shared" si="46"/>
        <v>Affy 1.0 ST</v>
      </c>
      <c r="G676" t="str">
        <f>"MGI:2384308"</f>
        <v>MGI:2384308</v>
      </c>
      <c r="H676" t="str">
        <f>"Pdk3"</f>
        <v>Pdk3</v>
      </c>
      <c r="I676" t="s">
        <v>1840</v>
      </c>
      <c r="J676" t="s">
        <v>2010</v>
      </c>
    </row>
    <row r="677" spans="1:10">
      <c r="A677">
        <v>10599855</v>
      </c>
      <c r="B677">
        <v>1.94667397262664</v>
      </c>
      <c r="C677">
        <v>0.19238503219684699</v>
      </c>
      <c r="E677" t="str">
        <f>"10599855"</f>
        <v>10599855</v>
      </c>
      <c r="F677" t="str">
        <f t="shared" si="46"/>
        <v>Affy 1.0 ST</v>
      </c>
      <c r="G677" t="str">
        <f>"MGI:95305"</f>
        <v>MGI:95305</v>
      </c>
      <c r="H677" t="str">
        <f>"Eif4e"</f>
        <v>Eif4e</v>
      </c>
      <c r="I677" t="str">
        <f>"eukaryotic translation initiation factor 4E"</f>
        <v>eukaryotic translation initiation factor 4E</v>
      </c>
      <c r="J677" t="str">
        <f>"protein coding gene"</f>
        <v>protein coding gene</v>
      </c>
    </row>
    <row r="678" spans="1:10">
      <c r="A678">
        <v>10414288</v>
      </c>
      <c r="B678">
        <v>1.9465399352405499</v>
      </c>
      <c r="C678">
        <v>0.21938814500805701</v>
      </c>
      <c r="E678" t="str">
        <f>"10414288"</f>
        <v>10414288</v>
      </c>
      <c r="F678" t="str">
        <f t="shared" si="46"/>
        <v>Affy 1.0 ST</v>
      </c>
      <c r="G678" t="str">
        <f>"MGI:1914339"</f>
        <v>MGI:1914339</v>
      </c>
      <c r="H678" t="str">
        <f>"Psmc6"</f>
        <v>Psmc6</v>
      </c>
      <c r="I678" t="s">
        <v>1841</v>
      </c>
      <c r="J678" t="s">
        <v>2010</v>
      </c>
    </row>
    <row r="679" spans="1:10">
      <c r="A679">
        <v>10405868</v>
      </c>
      <c r="B679">
        <v>1.9410526619239199</v>
      </c>
      <c r="C679">
        <v>0.29966175881832002</v>
      </c>
      <c r="E679" t="str">
        <f>"10405868"</f>
        <v>10405868</v>
      </c>
      <c r="F679" t="str">
        <f t="shared" si="46"/>
        <v>Affy 1.0 ST</v>
      </c>
      <c r="G679" t="str">
        <f>"MGI:108515"</f>
        <v>MGI:108515</v>
      </c>
      <c r="H679" t="str">
        <f>"Cbx3"</f>
        <v>Cbx3</v>
      </c>
      <c r="I679" t="str">
        <f>"chromobox homolog 3 (Drosophila HP1 gamma)"</f>
        <v>chromobox homolog 3 (Drosophila HP1 gamma)</v>
      </c>
      <c r="J679" t="str">
        <f>"protein coding gene"</f>
        <v>protein coding gene</v>
      </c>
    </row>
    <row r="680" spans="1:10">
      <c r="A680">
        <v>10471337</v>
      </c>
      <c r="B680">
        <v>1.9392757213135901</v>
      </c>
      <c r="C680">
        <v>0.36337623843558498</v>
      </c>
      <c r="E680" t="str">
        <f>"10471337"</f>
        <v>10471337</v>
      </c>
      <c r="F680" t="str">
        <f t="shared" si="46"/>
        <v>Affy 1.0 ST</v>
      </c>
      <c r="G680" t="str">
        <f>"MGI:2138994"</f>
        <v>MGI:2138994</v>
      </c>
      <c r="H680" t="str">
        <f>"Pomt1"</f>
        <v>Pomt1</v>
      </c>
      <c r="I680" t="str">
        <f>"protein-O-mannosyltransferase 1"</f>
        <v>protein-O-mannosyltransferase 1</v>
      </c>
      <c r="J680" t="str">
        <f>"protein coding gene"</f>
        <v>protein coding gene</v>
      </c>
    </row>
    <row r="681" spans="1:10">
      <c r="A681">
        <v>10444911</v>
      </c>
      <c r="B681">
        <v>1.93896313032652</v>
      </c>
      <c r="C681">
        <v>0.17329682053345499</v>
      </c>
      <c r="E681" t="str">
        <f>"10444911"</f>
        <v>10444911</v>
      </c>
      <c r="F681" t="str">
        <f t="shared" si="46"/>
        <v>Affy 1.0 ST</v>
      </c>
      <c r="G681" t="str">
        <f>"MGI:3525201"</f>
        <v>MGI:3525201</v>
      </c>
      <c r="H681" t="str">
        <f>"Mdc1"</f>
        <v>Mdc1</v>
      </c>
      <c r="I681" t="str">
        <f>"mediator of DNA damage checkpoint 1"</f>
        <v>mediator of DNA damage checkpoint 1</v>
      </c>
      <c r="J681" t="str">
        <f>"protein coding gene"</f>
        <v>protein coding gene</v>
      </c>
    </row>
    <row r="682" spans="1:10">
      <c r="A682">
        <v>10444658</v>
      </c>
      <c r="B682">
        <v>1.93800523712624</v>
      </c>
      <c r="C682">
        <v>0.360757679343921</v>
      </c>
      <c r="E682" t="str">
        <f>"10444658"</f>
        <v>10444658</v>
      </c>
      <c r="F682" t="str">
        <f t="shared" si="46"/>
        <v>Affy 1.0 ST</v>
      </c>
      <c r="G682" t="str">
        <f>"MGI:2148924"</f>
        <v>MGI:2148924</v>
      </c>
      <c r="H682" t="str">
        <f>"Clic1"</f>
        <v>Clic1</v>
      </c>
      <c r="I682" t="str">
        <f>"chloride intracellular channel 1"</f>
        <v>chloride intracellular channel 1</v>
      </c>
      <c r="J682" t="str">
        <f>"protein coding gene"</f>
        <v>protein coding gene</v>
      </c>
    </row>
    <row r="683" spans="1:10">
      <c r="A683">
        <v>10573703</v>
      </c>
      <c r="B683">
        <v>1.93582681152711</v>
      </c>
      <c r="C683">
        <v>0.20419578998729099</v>
      </c>
      <c r="E683" t="str">
        <f>"10573703"</f>
        <v>10573703</v>
      </c>
      <c r="F683" t="str">
        <f t="shared" si="46"/>
        <v>Affy 1.0 ST</v>
      </c>
      <c r="G683" t="str">
        <f>"MGI:1921981"</f>
        <v>MGI:1921981</v>
      </c>
      <c r="H683" t="str">
        <f>"Tmem188"</f>
        <v>Tmem188</v>
      </c>
      <c r="I683" t="str">
        <f>"transmembrane protein 188"</f>
        <v>transmembrane protein 188</v>
      </c>
      <c r="J683" t="str">
        <f>"protein coding gene"</f>
        <v>protein coding gene</v>
      </c>
    </row>
    <row r="684" spans="1:10">
      <c r="A684">
        <v>10341112</v>
      </c>
      <c r="B684">
        <v>1.9326638341595299</v>
      </c>
      <c r="C684">
        <v>0.24812783668713401</v>
      </c>
      <c r="E684" t="str">
        <f>"10341112"</f>
        <v>10341112</v>
      </c>
      <c r="F684" t="str">
        <f>""</f>
        <v/>
      </c>
      <c r="G684" t="str">
        <f>"No associated gene"</f>
        <v>No associated gene</v>
      </c>
    </row>
    <row r="685" spans="1:10">
      <c r="A685">
        <v>10352735</v>
      </c>
      <c r="B685">
        <v>1.9323573191846399</v>
      </c>
      <c r="C685">
        <v>0.20581712796948501</v>
      </c>
      <c r="E685" t="str">
        <f>"10352735"</f>
        <v>10352735</v>
      </c>
      <c r="F685" t="str">
        <f>"Affy 1.0 ST"</f>
        <v>Affy 1.0 ST</v>
      </c>
      <c r="G685" t="str">
        <f>"MGI:1924315"</f>
        <v>MGI:1924315</v>
      </c>
      <c r="H685" t="str">
        <f>"Ints7"</f>
        <v>Ints7</v>
      </c>
      <c r="I685" t="str">
        <f>"integrator complex subunit 7"</f>
        <v>integrator complex subunit 7</v>
      </c>
      <c r="J685" t="str">
        <f>"protein coding gene"</f>
        <v>protein coding gene</v>
      </c>
    </row>
    <row r="686" spans="1:10">
      <c r="A686">
        <v>10534990</v>
      </c>
      <c r="B686">
        <v>1.9310516014856001</v>
      </c>
      <c r="C686">
        <v>0.15024210258673701</v>
      </c>
      <c r="E686" t="str">
        <f>"10534990"</f>
        <v>10534990</v>
      </c>
      <c r="F686" t="str">
        <f>"Affy 1.0 ST"</f>
        <v>Affy 1.0 ST</v>
      </c>
      <c r="G686" t="str">
        <f>"MGI:109129"</f>
        <v>MGI:109129</v>
      </c>
      <c r="H686" t="str">
        <f>"Taf6"</f>
        <v>Taf6</v>
      </c>
      <c r="I686" t="s">
        <v>1842</v>
      </c>
      <c r="J686" t="s">
        <v>2010</v>
      </c>
    </row>
    <row r="687" spans="1:10">
      <c r="A687">
        <v>10585358</v>
      </c>
      <c r="B687">
        <v>1.930971653189</v>
      </c>
      <c r="C687">
        <v>0.35805319878081698</v>
      </c>
      <c r="E687" t="str">
        <f>"10585358"</f>
        <v>10585358</v>
      </c>
      <c r="F687" t="str">
        <f>"Affy 1.0 ST"</f>
        <v>Affy 1.0 ST</v>
      </c>
      <c r="G687" t="str">
        <f>"MGI:107605"</f>
        <v>MGI:107605</v>
      </c>
      <c r="H687" t="str">
        <f>"Npat"</f>
        <v>Npat</v>
      </c>
      <c r="I687" t="str">
        <f>"nuclear protein in the AT region"</f>
        <v>nuclear protein in the AT region</v>
      </c>
      <c r="J687" t="str">
        <f>"protein coding gene"</f>
        <v>protein coding gene</v>
      </c>
    </row>
    <row r="688" spans="1:10">
      <c r="A688">
        <v>10605831</v>
      </c>
      <c r="B688">
        <v>1.9297939345428201</v>
      </c>
      <c r="C688">
        <v>0.30708595325621901</v>
      </c>
      <c r="E688" t="str">
        <f>"10605831"</f>
        <v>10605831</v>
      </c>
      <c r="F688" t="str">
        <f>"Affy 1.0 ST"</f>
        <v>Affy 1.0 ST</v>
      </c>
      <c r="G688" t="str">
        <f>"MGI:1923380"</f>
        <v>MGI:1923380</v>
      </c>
      <c r="H688" t="str">
        <f>"Las1l"</f>
        <v>Las1l</v>
      </c>
      <c r="I688" t="str">
        <f>"LAS1-like (S. cerevisiae)"</f>
        <v>LAS1-like (S. cerevisiae)</v>
      </c>
      <c r="J688" t="str">
        <f>"protein coding gene"</f>
        <v>protein coding gene</v>
      </c>
    </row>
    <row r="689" spans="1:10">
      <c r="A689">
        <v>10347232</v>
      </c>
      <c r="B689">
        <v>1.92456019248354</v>
      </c>
      <c r="C689">
        <v>0.36725007567061801</v>
      </c>
      <c r="E689" t="str">
        <f>"10347232"</f>
        <v>10347232</v>
      </c>
      <c r="F689" t="str">
        <f>"Affy 1.0 ST"</f>
        <v>Affy 1.0 ST</v>
      </c>
      <c r="G689" t="str">
        <f>"MGI:104517"</f>
        <v>MGI:104517</v>
      </c>
      <c r="H689" t="str">
        <f>"Xrcc5"</f>
        <v>Xrcc5</v>
      </c>
      <c r="I689" t="str">
        <f>"X-ray repair complementing defective repair in Chinese hamster cells 5"</f>
        <v>X-ray repair complementing defective repair in Chinese hamster cells 5</v>
      </c>
      <c r="J689" t="str">
        <f>"protein coding gene"</f>
        <v>protein coding gene</v>
      </c>
    </row>
    <row r="690" spans="1:10">
      <c r="A690">
        <v>10344111</v>
      </c>
      <c r="B690">
        <v>1.9234677368470601</v>
      </c>
      <c r="C690">
        <v>0.16396423453012901</v>
      </c>
      <c r="E690" t="str">
        <f>"10344111"</f>
        <v>10344111</v>
      </c>
      <c r="F690" t="str">
        <f>""</f>
        <v/>
      </c>
      <c r="G690" t="str">
        <f>"No associated gene"</f>
        <v>No associated gene</v>
      </c>
    </row>
    <row r="691" spans="1:10">
      <c r="A691">
        <v>10482229</v>
      </c>
      <c r="B691">
        <v>1.9226626950389201</v>
      </c>
      <c r="C691">
        <v>0.28578517276349003</v>
      </c>
      <c r="E691" t="str">
        <f>"10482229"</f>
        <v>10482229</v>
      </c>
      <c r="F691" t="str">
        <f>"Affy 1.0 ST"</f>
        <v>Affy 1.0 ST</v>
      </c>
      <c r="G691" t="str">
        <f>"MGI:107637"</f>
        <v>MGI:107637</v>
      </c>
      <c r="H691" t="str">
        <f>"Psmb7"</f>
        <v>Psmb7</v>
      </c>
      <c r="I691" t="s">
        <v>1843</v>
      </c>
      <c r="J691" t="s">
        <v>2010</v>
      </c>
    </row>
    <row r="692" spans="1:10">
      <c r="A692">
        <v>10341083</v>
      </c>
      <c r="B692">
        <v>1.92202626465796</v>
      </c>
      <c r="C692">
        <v>0.148721050927971</v>
      </c>
      <c r="E692" t="str">
        <f>"10341083"</f>
        <v>10341083</v>
      </c>
      <c r="F692" t="str">
        <f>""</f>
        <v/>
      </c>
      <c r="G692" t="str">
        <f>"No associated gene"</f>
        <v>No associated gene</v>
      </c>
    </row>
    <row r="693" spans="1:10">
      <c r="A693">
        <v>10453575</v>
      </c>
      <c r="B693">
        <v>1.9207257351515099</v>
      </c>
      <c r="C693">
        <v>0.29430486692131602</v>
      </c>
      <c r="E693" t="str">
        <f>"10453575"</f>
        <v>10453575</v>
      </c>
      <c r="F693" t="str">
        <f t="shared" ref="F693:F701" si="47">"Affy 1.0 ST"</f>
        <v>Affy 1.0 ST</v>
      </c>
      <c r="G693" t="str">
        <f>"MGI:1918995"</f>
        <v>MGI:1918995</v>
      </c>
      <c r="H693" t="str">
        <f>"Cul2"</f>
        <v>Cul2</v>
      </c>
      <c r="I693" t="str">
        <f>"cullin 2"</f>
        <v>cullin 2</v>
      </c>
      <c r="J693" t="str">
        <f>"protein coding gene"</f>
        <v>protein coding gene</v>
      </c>
    </row>
    <row r="694" spans="1:10">
      <c r="A694">
        <v>10550632</v>
      </c>
      <c r="B694">
        <v>1.9206914340207299</v>
      </c>
      <c r="C694">
        <v>6.3262164030980006E-2</v>
      </c>
      <c r="E694" t="str">
        <f>"10550632"</f>
        <v>10550632</v>
      </c>
      <c r="F694" t="str">
        <f t="shared" si="47"/>
        <v>Affy 1.0 ST</v>
      </c>
      <c r="G694" t="str">
        <f>"MGI:2686271"</f>
        <v>MGI:2686271</v>
      </c>
      <c r="H694" t="str">
        <f>"Opa3"</f>
        <v>Opa3</v>
      </c>
      <c r="I694" t="str">
        <f>"optic atrophy 3 (human)"</f>
        <v>optic atrophy 3 (human)</v>
      </c>
      <c r="J694" t="str">
        <f>"protein coding gene"</f>
        <v>protein coding gene</v>
      </c>
    </row>
    <row r="695" spans="1:10">
      <c r="A695">
        <v>10487175</v>
      </c>
      <c r="B695">
        <v>1.91841810638036</v>
      </c>
      <c r="C695">
        <v>0.43819055555917102</v>
      </c>
      <c r="E695" t="str">
        <f>"10487175"</f>
        <v>10487175</v>
      </c>
      <c r="F695" t="str">
        <f t="shared" si="47"/>
        <v>Affy 1.0 ST</v>
      </c>
      <c r="G695" t="str">
        <f>"MGI:1330276"</f>
        <v>MGI:1330276</v>
      </c>
      <c r="H695" t="str">
        <f>"Cops2"</f>
        <v>Cops2</v>
      </c>
      <c r="I695" t="s">
        <v>1844</v>
      </c>
      <c r="J695" t="s">
        <v>2010</v>
      </c>
    </row>
    <row r="696" spans="1:10">
      <c r="A696">
        <v>10375975</v>
      </c>
      <c r="B696">
        <v>1.9124443593734</v>
      </c>
      <c r="C696">
        <v>0.33882073855566203</v>
      </c>
      <c r="E696" t="str">
        <f>"10375975"</f>
        <v>10375975</v>
      </c>
      <c r="F696" t="str">
        <f t="shared" si="47"/>
        <v>Affy 1.0 ST</v>
      </c>
      <c r="G696" t="str">
        <f>"MGI:1196228"</f>
        <v>MGI:1196228</v>
      </c>
      <c r="H696" t="str">
        <f>"Zcchc10"</f>
        <v>Zcchc10</v>
      </c>
      <c r="I696" t="s">
        <v>2070</v>
      </c>
      <c r="J696" t="s">
        <v>2010</v>
      </c>
    </row>
    <row r="697" spans="1:10">
      <c r="A697">
        <v>10405033</v>
      </c>
      <c r="B697">
        <v>1.9085545476850601</v>
      </c>
      <c r="C697">
        <v>0.30283365444488902</v>
      </c>
      <c r="E697" t="str">
        <f>"10405033"</f>
        <v>10405033</v>
      </c>
      <c r="F697" t="str">
        <f t="shared" si="47"/>
        <v>Affy 1.0 ST</v>
      </c>
      <c r="G697" t="str">
        <f>"MGI:3039578"</f>
        <v>MGI:3039578</v>
      </c>
      <c r="H697" t="str">
        <f>"Ecm2"</f>
        <v>Ecm2</v>
      </c>
      <c r="I697" t="s">
        <v>1845</v>
      </c>
      <c r="J697" t="s">
        <v>2010</v>
      </c>
    </row>
    <row r="698" spans="1:10">
      <c r="A698">
        <v>10344819</v>
      </c>
      <c r="B698">
        <v>1.9074603296068999</v>
      </c>
      <c r="C698">
        <v>0.148333873959867</v>
      </c>
      <c r="E698" t="str">
        <f>"10344819"</f>
        <v>10344819</v>
      </c>
      <c r="F698" t="str">
        <f t="shared" si="47"/>
        <v>Affy 1.0 ST</v>
      </c>
      <c r="G698" t="str">
        <f>"MGI:2681832"</f>
        <v>MGI:2681832</v>
      </c>
      <c r="H698" t="str">
        <f>"Cspp1"</f>
        <v>Cspp1</v>
      </c>
      <c r="I698" t="str">
        <f>"centrosome and spindle pole associated protein 1"</f>
        <v>centrosome and spindle pole associated protein 1</v>
      </c>
      <c r="J698" t="str">
        <f>"protein coding gene"</f>
        <v>protein coding gene</v>
      </c>
    </row>
    <row r="699" spans="1:10">
      <c r="A699">
        <v>10493770</v>
      </c>
      <c r="B699">
        <v>1.9069475758960599</v>
      </c>
      <c r="C699">
        <v>0.31740097554052199</v>
      </c>
      <c r="E699" t="str">
        <f>"10493770"</f>
        <v>10493770</v>
      </c>
      <c r="F699" t="str">
        <f t="shared" si="47"/>
        <v>Affy 1.0 ST</v>
      </c>
      <c r="G699" t="str">
        <f>"MGI:1915031"</f>
        <v>MGI:1915031</v>
      </c>
      <c r="H699" t="str">
        <f>"Ilf2"</f>
        <v>Ilf2</v>
      </c>
      <c r="I699" t="str">
        <f>"interleukin enhancer binding factor 2"</f>
        <v>interleukin enhancer binding factor 2</v>
      </c>
      <c r="J699" t="str">
        <f>"protein coding gene"</f>
        <v>protein coding gene</v>
      </c>
    </row>
    <row r="700" spans="1:10">
      <c r="A700">
        <v>10406742</v>
      </c>
      <c r="B700">
        <v>1.90624312479721</v>
      </c>
      <c r="C700">
        <v>0.267682861099451</v>
      </c>
      <c r="E700" t="str">
        <f>"10406742"</f>
        <v>10406742</v>
      </c>
      <c r="F700" t="str">
        <f t="shared" si="47"/>
        <v>Affy 1.0 ST</v>
      </c>
      <c r="G700" t="str">
        <f>"MGI:1914713"</f>
        <v>MGI:1914713</v>
      </c>
      <c r="H700" t="str">
        <f>"Poc5"</f>
        <v>Poc5</v>
      </c>
      <c r="I700" t="str">
        <f>"POC5 centriolar protein homolog (Chlamydomonas)"</f>
        <v>POC5 centriolar protein homolog (Chlamydomonas)</v>
      </c>
      <c r="J700" t="str">
        <f>"protein coding gene"</f>
        <v>protein coding gene</v>
      </c>
    </row>
    <row r="701" spans="1:10">
      <c r="A701">
        <v>10550935</v>
      </c>
      <c r="B701">
        <v>1.90529033057937</v>
      </c>
      <c r="C701">
        <v>8.3708714866424602E-2</v>
      </c>
      <c r="E701" t="str">
        <f>"10550935"</f>
        <v>10550935</v>
      </c>
      <c r="F701" t="str">
        <f t="shared" si="47"/>
        <v>Affy 1.0 ST</v>
      </c>
      <c r="G701" t="str">
        <f>"MGI:99137"</f>
        <v>MGI:99137</v>
      </c>
      <c r="H701" t="str">
        <f>"Xrcc1"</f>
        <v>Xrcc1</v>
      </c>
      <c r="I701" t="str">
        <f>"X-ray repair complementing defective repair in Chinese hamster cells 1"</f>
        <v>X-ray repair complementing defective repair in Chinese hamster cells 1</v>
      </c>
      <c r="J701" t="str">
        <f>"protein coding gene"</f>
        <v>protein coding gene</v>
      </c>
    </row>
    <row r="702" spans="1:10">
      <c r="A702">
        <v>10342460</v>
      </c>
      <c r="B702">
        <v>1.9051452707588601</v>
      </c>
      <c r="C702">
        <v>7.3634435116064198E-2</v>
      </c>
      <c r="E702" t="str">
        <f>"10342460"</f>
        <v>10342460</v>
      </c>
      <c r="F702" t="str">
        <f>""</f>
        <v/>
      </c>
      <c r="G702" t="str">
        <f>"No associated gene"</f>
        <v>No associated gene</v>
      </c>
    </row>
    <row r="703" spans="1:10">
      <c r="A703">
        <v>10598771</v>
      </c>
      <c r="B703">
        <v>1.9038114407223401</v>
      </c>
      <c r="C703">
        <v>0.15228093766020401</v>
      </c>
      <c r="E703" t="str">
        <f>"10598771"</f>
        <v>10598771</v>
      </c>
      <c r="F703" t="str">
        <f t="shared" ref="F703:F712" si="48">"Affy 1.0 ST"</f>
        <v>Affy 1.0 ST</v>
      </c>
      <c r="G703" t="str">
        <f>"MGI:96915"</f>
        <v>MGI:96915</v>
      </c>
      <c r="H703" t="str">
        <f>"Maoa"</f>
        <v>Maoa</v>
      </c>
      <c r="I703" t="str">
        <f>"monoamine oxidase A"</f>
        <v>monoamine oxidase A</v>
      </c>
      <c r="J703" t="str">
        <f>"protein coding gene"</f>
        <v>protein coding gene</v>
      </c>
    </row>
    <row r="704" spans="1:10">
      <c r="A704">
        <v>10484351</v>
      </c>
      <c r="B704">
        <v>1.90223106510225</v>
      </c>
      <c r="C704">
        <v>0.237894889620936</v>
      </c>
      <c r="E704" t="str">
        <f>"10484351"</f>
        <v>10484351</v>
      </c>
      <c r="F704" t="str">
        <f t="shared" si="48"/>
        <v>Affy 1.0 ST</v>
      </c>
      <c r="G704" t="str">
        <f>"MGI:2158813"</f>
        <v>MGI:2158813</v>
      </c>
      <c r="H704" t="str">
        <f>"Sumo2"</f>
        <v>Sumo2</v>
      </c>
      <c r="I704" t="str">
        <f>"SMT3 suppressor of mif two 3 homolog 2 (yeast)"</f>
        <v>SMT3 suppressor of mif two 3 homolog 2 (yeast)</v>
      </c>
      <c r="J704" t="str">
        <f>"protein coding gene"</f>
        <v>protein coding gene</v>
      </c>
    </row>
    <row r="705" spans="1:10">
      <c r="A705">
        <v>10608422</v>
      </c>
      <c r="B705">
        <v>1.89672549981896</v>
      </c>
      <c r="C705">
        <v>0.29633133030952202</v>
      </c>
      <c r="E705" t="str">
        <f>"10608422"</f>
        <v>10608422</v>
      </c>
      <c r="F705" t="str">
        <f t="shared" si="48"/>
        <v>Affy 1.0 ST</v>
      </c>
      <c r="G705" t="str">
        <f>"MGI:1921636"</f>
        <v>MGI:1921636</v>
      </c>
      <c r="H705" t="str">
        <f>"Rmi1"</f>
        <v>Rmi1</v>
      </c>
      <c r="I705" t="s">
        <v>1940</v>
      </c>
      <c r="J705" t="s">
        <v>2010</v>
      </c>
    </row>
    <row r="706" spans="1:10">
      <c r="A706">
        <v>10422980</v>
      </c>
      <c r="B706">
        <v>1.89435298025237</v>
      </c>
      <c r="C706">
        <v>0.227659280246991</v>
      </c>
      <c r="E706" t="str">
        <f>"10422980"</f>
        <v>10422980</v>
      </c>
      <c r="F706" t="str">
        <f t="shared" si="48"/>
        <v>Affy 1.0 ST</v>
      </c>
      <c r="G706" t="str">
        <f>"MGI:2444173"</f>
        <v>MGI:2444173</v>
      </c>
      <c r="H706" t="str">
        <f>"Lmbrd2"</f>
        <v>Lmbrd2</v>
      </c>
      <c r="I706" t="str">
        <f>"LMBR1 domain containing 2"</f>
        <v>LMBR1 domain containing 2</v>
      </c>
      <c r="J706" t="str">
        <f>"protein coding gene"</f>
        <v>protein coding gene</v>
      </c>
    </row>
    <row r="707" spans="1:10">
      <c r="A707">
        <v>10373873</v>
      </c>
      <c r="B707">
        <v>1.8940943431099799</v>
      </c>
      <c r="C707">
        <v>7.3427115641250401E-2</v>
      </c>
      <c r="E707" t="str">
        <f>"10373873"</f>
        <v>10373873</v>
      </c>
      <c r="F707" t="str">
        <f t="shared" si="48"/>
        <v>Affy 1.0 ST</v>
      </c>
      <c r="G707" t="str">
        <f>"MGI:1914715"</f>
        <v>MGI:1914715</v>
      </c>
      <c r="H707" t="str">
        <f>"Sf3a1"</f>
        <v>Sf3a1</v>
      </c>
      <c r="I707" t="s">
        <v>1941</v>
      </c>
      <c r="J707" t="s">
        <v>2010</v>
      </c>
    </row>
    <row r="708" spans="1:10">
      <c r="A708">
        <v>10562461</v>
      </c>
      <c r="B708">
        <v>1.8935286566009799</v>
      </c>
      <c r="C708">
        <v>0.17374671715899301</v>
      </c>
      <c r="E708" t="str">
        <f>"10562461"</f>
        <v>10562461</v>
      </c>
      <c r="F708" t="str">
        <f t="shared" si="48"/>
        <v>Affy 1.0 ST</v>
      </c>
      <c r="G708" t="str">
        <f>"MGI:2142208"</f>
        <v>MGI:2142208</v>
      </c>
      <c r="H708" t="str">
        <f>"C230052I12Rik"</f>
        <v>C230052I12Rik</v>
      </c>
      <c r="I708" t="str">
        <f>"RIKEN cDNA C230052I12 gene"</f>
        <v>RIKEN cDNA C230052I12 gene</v>
      </c>
      <c r="J708" t="str">
        <f>"protein coding gene"</f>
        <v>protein coding gene</v>
      </c>
    </row>
    <row r="709" spans="1:10">
      <c r="A709">
        <v>10504564</v>
      </c>
      <c r="B709">
        <v>1.8924997301837401</v>
      </c>
      <c r="C709">
        <v>0.226173585881107</v>
      </c>
      <c r="E709" t="str">
        <f>"10504564"</f>
        <v>10504564</v>
      </c>
      <c r="F709" t="str">
        <f t="shared" si="48"/>
        <v>Affy 1.0 ST</v>
      </c>
      <c r="G709" t="str">
        <f>"MGI:2140179"</f>
        <v>MGI:2140179</v>
      </c>
      <c r="H709" t="str">
        <f>"Dcaf10"</f>
        <v>Dcaf10</v>
      </c>
      <c r="I709" t="str">
        <f>"DDB1 and CUL4 associated factor 10"</f>
        <v>DDB1 and CUL4 associated factor 10</v>
      </c>
      <c r="J709" t="str">
        <f>"protein coding gene"</f>
        <v>protein coding gene</v>
      </c>
    </row>
    <row r="710" spans="1:10">
      <c r="A710">
        <v>10527832</v>
      </c>
      <c r="B710">
        <v>1.89202474934942</v>
      </c>
      <c r="C710">
        <v>0.18232024897532101</v>
      </c>
      <c r="E710" t="str">
        <f>"10527832"</f>
        <v>10527832</v>
      </c>
      <c r="F710" t="str">
        <f t="shared" si="48"/>
        <v>Affy 1.0 ST</v>
      </c>
      <c r="G710" t="str">
        <f>"MGI:2140945"</f>
        <v>MGI:2140945</v>
      </c>
      <c r="H710" t="str">
        <f>"Pds5b"</f>
        <v>Pds5b</v>
      </c>
      <c r="I710" t="s">
        <v>1942</v>
      </c>
      <c r="J710" t="s">
        <v>2010</v>
      </c>
    </row>
    <row r="711" spans="1:10">
      <c r="A711">
        <v>10481291</v>
      </c>
      <c r="B711">
        <v>1.8899744510422101</v>
      </c>
      <c r="C711">
        <v>0.25352893201992599</v>
      </c>
      <c r="E711" t="str">
        <f>"10481291"</f>
        <v>10481291</v>
      </c>
      <c r="F711" t="str">
        <f t="shared" si="48"/>
        <v>Affy 1.0 ST</v>
      </c>
      <c r="G711" t="str">
        <f>"MGI:1917489"</f>
        <v>MGI:1917489</v>
      </c>
      <c r="H711" t="str">
        <f>"Gtf3c5"</f>
        <v>Gtf3c5</v>
      </c>
      <c r="I711" t="s">
        <v>1943</v>
      </c>
      <c r="J711" t="s">
        <v>2010</v>
      </c>
    </row>
    <row r="712" spans="1:10">
      <c r="A712">
        <v>10424700</v>
      </c>
      <c r="B712">
        <v>1.8895776034848899</v>
      </c>
      <c r="C712">
        <v>0.31833616767811601</v>
      </c>
      <c r="E712" t="str">
        <f>"10424700"</f>
        <v>10424700</v>
      </c>
      <c r="F712" t="str">
        <f t="shared" si="48"/>
        <v>Affy 1.0 ST</v>
      </c>
      <c r="G712" t="str">
        <f>"MGI:99186"</f>
        <v>MGI:99186</v>
      </c>
      <c r="H712" t="str">
        <f>"Zfp41"</f>
        <v>Zfp41</v>
      </c>
      <c r="I712" t="str">
        <f>"zinc finger protein 41"</f>
        <v>zinc finger protein 41</v>
      </c>
      <c r="J712" t="str">
        <f>"protein coding gene"</f>
        <v>protein coding gene</v>
      </c>
    </row>
    <row r="713" spans="1:10">
      <c r="A713">
        <v>10341395</v>
      </c>
      <c r="B713">
        <v>1.8864791517265</v>
      </c>
      <c r="C713">
        <v>0.30877162802618902</v>
      </c>
      <c r="E713" t="str">
        <f>"10341395"</f>
        <v>10341395</v>
      </c>
      <c r="F713" t="str">
        <f>""</f>
        <v/>
      </c>
      <c r="G713" t="str">
        <f>"No associated gene"</f>
        <v>No associated gene</v>
      </c>
    </row>
    <row r="714" spans="1:10">
      <c r="A714">
        <v>10516576</v>
      </c>
      <c r="B714">
        <v>1.8814854324447701</v>
      </c>
      <c r="C714">
        <v>0.33041648100504001</v>
      </c>
      <c r="E714" t="str">
        <f>"10516576"</f>
        <v>10516576</v>
      </c>
      <c r="F714" t="str">
        <f>"Affy 1.0 ST"</f>
        <v>Affy 1.0 ST</v>
      </c>
      <c r="G714" t="str">
        <f>"MGI:1194912"</f>
        <v>MGI:1194912</v>
      </c>
      <c r="H714" t="str">
        <f>"Rbbp4"</f>
        <v>Rbbp4</v>
      </c>
      <c r="I714" t="str">
        <f>"retinoblastoma binding protein 4"</f>
        <v>retinoblastoma binding protein 4</v>
      </c>
      <c r="J714" t="str">
        <f>"protein coding gene"</f>
        <v>protein coding gene</v>
      </c>
    </row>
    <row r="715" spans="1:10">
      <c r="A715">
        <v>10514219</v>
      </c>
      <c r="B715">
        <v>1.8812199230462401</v>
      </c>
      <c r="C715">
        <v>0.26592441857779298</v>
      </c>
      <c r="E715" t="str">
        <f>"10514219"</f>
        <v>10514219</v>
      </c>
      <c r="F715" t="str">
        <f>""</f>
        <v/>
      </c>
      <c r="G715" t="str">
        <f>"No associated gene"</f>
        <v>No associated gene</v>
      </c>
    </row>
    <row r="716" spans="1:10">
      <c r="A716">
        <v>10479560</v>
      </c>
      <c r="B716">
        <v>1.8779972389716899</v>
      </c>
      <c r="C716">
        <v>0.26489577754673399</v>
      </c>
      <c r="E716" t="str">
        <f>"10479560"</f>
        <v>10479560</v>
      </c>
      <c r="F716" t="str">
        <f>"Affy 1.0 ST"</f>
        <v>Affy 1.0 ST</v>
      </c>
      <c r="G716" t="str">
        <f>"MGI:2139369"</f>
        <v>MGI:2139369</v>
      </c>
      <c r="H716" t="str">
        <f>"Rtel1"</f>
        <v>Rtel1</v>
      </c>
      <c r="I716" t="str">
        <f>"regulator of telomere elongation helicase 1"</f>
        <v>regulator of telomere elongation helicase 1</v>
      </c>
      <c r="J716" t="str">
        <f>"protein coding gene"</f>
        <v>protein coding gene</v>
      </c>
    </row>
    <row r="717" spans="1:10">
      <c r="A717">
        <v>10391768</v>
      </c>
      <c r="B717">
        <v>1.8779392835734099</v>
      </c>
      <c r="C717">
        <v>0.22606699160774199</v>
      </c>
      <c r="E717" t="str">
        <f>"10391768"</f>
        <v>10391768</v>
      </c>
      <c r="F717" t="str">
        <f>"Affy 1.0 ST"</f>
        <v>Affy 1.0 ST</v>
      </c>
      <c r="G717" t="str">
        <f>"MGI:1336880"</f>
        <v>MGI:1336880</v>
      </c>
      <c r="H717" t="str">
        <f>"Eftud2"</f>
        <v>Eftud2</v>
      </c>
      <c r="I717" t="str">
        <f>"elongation factor Tu GTP binding domain containing 2"</f>
        <v>elongation factor Tu GTP binding domain containing 2</v>
      </c>
      <c r="J717" t="str">
        <f>"protein coding gene"</f>
        <v>protein coding gene</v>
      </c>
    </row>
    <row r="718" spans="1:10">
      <c r="A718">
        <v>10340752</v>
      </c>
      <c r="B718">
        <v>1.87552188963093</v>
      </c>
      <c r="C718">
        <v>0.151219493143918</v>
      </c>
      <c r="E718" t="str">
        <f>"10340752"</f>
        <v>10340752</v>
      </c>
      <c r="F718" t="str">
        <f>""</f>
        <v/>
      </c>
      <c r="G718" t="str">
        <f>"No associated gene"</f>
        <v>No associated gene</v>
      </c>
    </row>
    <row r="719" spans="1:10">
      <c r="A719">
        <v>10393642</v>
      </c>
      <c r="B719">
        <v>1.87321179978408</v>
      </c>
      <c r="C719">
        <v>0.139425216378955</v>
      </c>
      <c r="E719" t="str">
        <f>"10393642"</f>
        <v>10393642</v>
      </c>
      <c r="F719" t="str">
        <f>"Affy 1.0 ST"</f>
        <v>Affy 1.0 ST</v>
      </c>
      <c r="G719" t="str">
        <f>"MGI:1923731"</f>
        <v>MGI:1923731</v>
      </c>
      <c r="H719" t="str">
        <f>"Eif4a3"</f>
        <v>Eif4a3</v>
      </c>
      <c r="I719" t="str">
        <f>"eukaryotic translation initiation factor 4A3"</f>
        <v>eukaryotic translation initiation factor 4A3</v>
      </c>
      <c r="J719" t="str">
        <f>"protein coding gene"</f>
        <v>protein coding gene</v>
      </c>
    </row>
    <row r="720" spans="1:10">
      <c r="A720">
        <v>10599612</v>
      </c>
      <c r="B720">
        <v>1.87217252495069</v>
      </c>
      <c r="C720">
        <v>0.13767009578043399</v>
      </c>
      <c r="E720" t="str">
        <f>"10599612"</f>
        <v>10599612</v>
      </c>
      <c r="F720" t="str">
        <f>"Affy 1.0 ST"</f>
        <v>Affy 1.0 ST</v>
      </c>
      <c r="G720" t="str">
        <f>"MGI:1918248"</f>
        <v>MGI:1918248</v>
      </c>
      <c r="H720" t="str">
        <f>"Phf6"</f>
        <v>Phf6</v>
      </c>
      <c r="I720" t="str">
        <f>"PHD finger protein 6"</f>
        <v>PHD finger protein 6</v>
      </c>
      <c r="J720" t="str">
        <f>"protein coding gene"</f>
        <v>protein coding gene</v>
      </c>
    </row>
    <row r="721" spans="1:10">
      <c r="A721">
        <v>10606376</v>
      </c>
      <c r="B721">
        <v>1.86982230181658</v>
      </c>
      <c r="C721">
        <v>7.5804794019101507E-2</v>
      </c>
      <c r="E721" t="str">
        <f>"10606376"</f>
        <v>10606376</v>
      </c>
      <c r="F721" t="str">
        <f>"Affy 1.0 ST"</f>
        <v>Affy 1.0 ST</v>
      </c>
      <c r="G721" t="str">
        <f>"MGI:1914278"</f>
        <v>MGI:1914278</v>
      </c>
      <c r="H721" t="str">
        <f>"2610002M06Rik"</f>
        <v>2610002M06Rik</v>
      </c>
      <c r="I721" t="str">
        <f>"RIKEN cDNA 2610002M06 gene"</f>
        <v>RIKEN cDNA 2610002M06 gene</v>
      </c>
      <c r="J721" t="str">
        <f>"protein coding gene"</f>
        <v>protein coding gene</v>
      </c>
    </row>
    <row r="722" spans="1:10">
      <c r="A722">
        <v>10561983</v>
      </c>
      <c r="B722">
        <v>1.8685848012787201</v>
      </c>
      <c r="C722">
        <v>8.3860090858003E-2</v>
      </c>
      <c r="E722" t="str">
        <f>"10561983"</f>
        <v>10561983</v>
      </c>
      <c r="F722" t="str">
        <f>"Affy 1.0 ST"</f>
        <v>Affy 1.0 ST</v>
      </c>
      <c r="G722" t="str">
        <f>"MGI:2681861"</f>
        <v>MGI:2681861</v>
      </c>
      <c r="H722" t="str">
        <f>"BC053749"</f>
        <v>BC053749</v>
      </c>
      <c r="I722" t="str">
        <f>"cDNA sequence BC053749"</f>
        <v>cDNA sequence BC053749</v>
      </c>
      <c r="J722" t="str">
        <f>"protein coding gene"</f>
        <v>protein coding gene</v>
      </c>
    </row>
    <row r="723" spans="1:10">
      <c r="A723">
        <v>10406536</v>
      </c>
      <c r="B723">
        <v>1.86700536300015</v>
      </c>
      <c r="C723">
        <v>0.10031524770884701</v>
      </c>
      <c r="E723" t="str">
        <f>"10406536"</f>
        <v>10406536</v>
      </c>
      <c r="F723" t="str">
        <f>""</f>
        <v/>
      </c>
      <c r="G723" t="str">
        <f>"No associated gene"</f>
        <v>No associated gene</v>
      </c>
    </row>
    <row r="724" spans="1:10">
      <c r="A724">
        <v>10572109</v>
      </c>
      <c r="B724">
        <v>1.8666648775319299</v>
      </c>
      <c r="C724">
        <v>0.103540176376342</v>
      </c>
      <c r="E724" t="str">
        <f>"10572109"</f>
        <v>10572109</v>
      </c>
      <c r="F724" t="str">
        <f>"Affy 1.0 ST"</f>
        <v>Affy 1.0 ST</v>
      </c>
      <c r="G724" t="str">
        <f>"MGI:1918135"</f>
        <v>MGI:1918135</v>
      </c>
      <c r="H724" t="str">
        <f>"Ints10"</f>
        <v>Ints10</v>
      </c>
      <c r="I724" t="str">
        <f>"integrator complex subunit 10"</f>
        <v>integrator complex subunit 10</v>
      </c>
      <c r="J724" t="str">
        <f>"protein coding gene"</f>
        <v>protein coding gene</v>
      </c>
    </row>
    <row r="725" spans="1:10">
      <c r="A725">
        <v>10533549</v>
      </c>
      <c r="B725">
        <v>1.8664290206690199</v>
      </c>
      <c r="C725">
        <v>0.17018946733285201</v>
      </c>
      <c r="E725" t="str">
        <f>"10533549"</f>
        <v>10533549</v>
      </c>
      <c r="F725" t="str">
        <f>"Affy 1.0 ST"</f>
        <v>Affy 1.0 ST</v>
      </c>
      <c r="G725" t="str">
        <f>"MGI:1929722"</f>
        <v>MGI:1929722</v>
      </c>
      <c r="H725" t="str">
        <f>"Anapc5"</f>
        <v>Anapc5</v>
      </c>
      <c r="I725" t="str">
        <f>"anaphase-promoting complex subunit 5"</f>
        <v>anaphase-promoting complex subunit 5</v>
      </c>
      <c r="J725" t="str">
        <f>"protein coding gene"</f>
        <v>protein coding gene</v>
      </c>
    </row>
    <row r="726" spans="1:10">
      <c r="A726">
        <v>10605943</v>
      </c>
      <c r="B726">
        <v>1.8654652005218799</v>
      </c>
      <c r="C726">
        <v>0.15066307213821101</v>
      </c>
      <c r="E726" t="str">
        <f>"10605943"</f>
        <v>10605943</v>
      </c>
      <c r="F726" t="str">
        <f>"Affy 1.0 ST"</f>
        <v>Affy 1.0 ST</v>
      </c>
      <c r="G726" t="str">
        <f>"MGI:1919871"</f>
        <v>MGI:1919871</v>
      </c>
      <c r="H726" t="str">
        <f>"Pdzd11"</f>
        <v>Pdzd11</v>
      </c>
      <c r="I726" t="str">
        <f>"PDZ domain containing 11"</f>
        <v>PDZ domain containing 11</v>
      </c>
      <c r="J726" t="str">
        <f>"protein coding gene"</f>
        <v>protein coding gene</v>
      </c>
    </row>
    <row r="727" spans="1:10">
      <c r="A727">
        <v>10338830</v>
      </c>
      <c r="B727">
        <v>1.8636977604956</v>
      </c>
      <c r="C727">
        <v>0.13283681070078501</v>
      </c>
      <c r="E727" t="str">
        <f>"10338830"</f>
        <v>10338830</v>
      </c>
      <c r="F727" t="str">
        <f>""</f>
        <v/>
      </c>
      <c r="G727" t="str">
        <f>"No associated gene"</f>
        <v>No associated gene</v>
      </c>
    </row>
    <row r="728" spans="1:10">
      <c r="A728">
        <v>10604199</v>
      </c>
      <c r="B728">
        <v>1.8629056442027301</v>
      </c>
      <c r="C728">
        <v>9.9673470024503996E-2</v>
      </c>
      <c r="E728" t="str">
        <f>"10604199"</f>
        <v>10604199</v>
      </c>
      <c r="F728" t="str">
        <f>"Affy 1.0 ST"</f>
        <v>Affy 1.0 ST</v>
      </c>
      <c r="G728" t="str">
        <f>"MGI:1919834"</f>
        <v>MGI:1919834</v>
      </c>
      <c r="H728" t="str">
        <f>"Cul4b"</f>
        <v>Cul4b</v>
      </c>
      <c r="I728" t="str">
        <f>"cullin 4B"</f>
        <v>cullin 4B</v>
      </c>
      <c r="J728" t="str">
        <f>"protein coding gene"</f>
        <v>protein coding gene</v>
      </c>
    </row>
    <row r="729" spans="1:10">
      <c r="A729">
        <v>10589800</v>
      </c>
      <c r="B729">
        <v>1.8621860273759401</v>
      </c>
      <c r="C729">
        <v>0.181843347015753</v>
      </c>
      <c r="E729" t="str">
        <f>"10589800"</f>
        <v>10589800</v>
      </c>
      <c r="F729" t="str">
        <f>"Affy 1.0 ST"</f>
        <v>Affy 1.0 ST</v>
      </c>
      <c r="G729" t="str">
        <f>"MGI:1923749"</f>
        <v>MGI:1923749</v>
      </c>
      <c r="H729" t="str">
        <f>"Clasp2"</f>
        <v>Clasp2</v>
      </c>
      <c r="I729" t="str">
        <f>"CLIP associating protein 2"</f>
        <v>CLIP associating protein 2</v>
      </c>
      <c r="J729" t="str">
        <f>"protein coding gene"</f>
        <v>protein coding gene</v>
      </c>
    </row>
    <row r="730" spans="1:10">
      <c r="A730">
        <v>10340693</v>
      </c>
      <c r="B730">
        <v>1.8615937529142199</v>
      </c>
      <c r="C730">
        <v>0.13508743201300299</v>
      </c>
      <c r="E730" t="str">
        <f>"10340693"</f>
        <v>10340693</v>
      </c>
      <c r="F730" t="str">
        <f>""</f>
        <v/>
      </c>
      <c r="G730" t="str">
        <f>"No associated gene"</f>
        <v>No associated gene</v>
      </c>
    </row>
    <row r="731" spans="1:10">
      <c r="A731">
        <v>10420390</v>
      </c>
      <c r="B731">
        <v>1.8556700125204999</v>
      </c>
      <c r="C731">
        <v>2.82994956989817E-2</v>
      </c>
      <c r="E731" t="str">
        <f>"10420390"</f>
        <v>10420390</v>
      </c>
      <c r="F731" t="str">
        <f>"Affy 1.0 ST"</f>
        <v>Affy 1.0 ST</v>
      </c>
      <c r="G731" t="str">
        <f>"MGI:1888526"</f>
        <v>MGI:1888526</v>
      </c>
      <c r="H731" t="str">
        <f>"Xpo4"</f>
        <v>Xpo4</v>
      </c>
      <c r="I731" t="str">
        <f>"exportin 4"</f>
        <v>exportin 4</v>
      </c>
      <c r="J731" t="str">
        <f>"protein coding gene"</f>
        <v>protein coding gene</v>
      </c>
    </row>
    <row r="732" spans="1:10">
      <c r="A732">
        <v>10605421</v>
      </c>
      <c r="B732">
        <v>1.8549382423060099</v>
      </c>
      <c r="C732">
        <v>0.14764230295002201</v>
      </c>
      <c r="E732" t="str">
        <f>"10605421"</f>
        <v>10605421</v>
      </c>
      <c r="F732" t="str">
        <f>"Affy 1.0 ST"</f>
        <v>Affy 1.0 ST</v>
      </c>
      <c r="G732" t="str">
        <f>"MGI:102699"</f>
        <v>MGI:102699</v>
      </c>
      <c r="H732" t="str">
        <f>"Mtcp1"</f>
        <v>Mtcp1</v>
      </c>
      <c r="I732" t="str">
        <f>"mature T-cell proliferation 1"</f>
        <v>mature T-cell proliferation 1</v>
      </c>
      <c r="J732" t="str">
        <f>"protein coding gene"</f>
        <v>protein coding gene</v>
      </c>
    </row>
    <row r="733" spans="1:10">
      <c r="A733">
        <v>10496417</v>
      </c>
      <c r="B733">
        <v>1.8523123090912199</v>
      </c>
      <c r="C733">
        <v>0.25917518539137702</v>
      </c>
      <c r="E733" t="str">
        <f>"10496417"</f>
        <v>10496417</v>
      </c>
      <c r="F733" t="str">
        <f>"Affy 1.0 ST"</f>
        <v>Affy 1.0 ST</v>
      </c>
      <c r="G733" t="str">
        <f>"MGI:1920421"</f>
        <v>MGI:1920421</v>
      </c>
      <c r="H733" t="str">
        <f>"Rg9mtd2"</f>
        <v>Rg9mtd2</v>
      </c>
      <c r="I733" t="str">
        <f>"RNA (guanine-9-) methyltransferase domain containing 2"</f>
        <v>RNA (guanine-9-) methyltransferase domain containing 2</v>
      </c>
      <c r="J733" t="str">
        <f>"protein coding gene"</f>
        <v>protein coding gene</v>
      </c>
    </row>
    <row r="734" spans="1:10">
      <c r="A734">
        <v>10339510</v>
      </c>
      <c r="B734">
        <v>1.8485814273591801</v>
      </c>
      <c r="C734">
        <v>0.102051647106754</v>
      </c>
      <c r="E734" t="str">
        <f>"10339510"</f>
        <v>10339510</v>
      </c>
      <c r="F734" t="str">
        <f>""</f>
        <v/>
      </c>
      <c r="G734" t="str">
        <f>"No associated gene"</f>
        <v>No associated gene</v>
      </c>
    </row>
    <row r="735" spans="1:10">
      <c r="A735">
        <v>10534316</v>
      </c>
      <c r="B735">
        <v>1.84497494423846</v>
      </c>
      <c r="C735">
        <v>0.117581812254062</v>
      </c>
      <c r="E735" t="str">
        <f>"10534316"</f>
        <v>10534316</v>
      </c>
      <c r="F735" t="str">
        <f>"Affy 1.0 ST"</f>
        <v>Affy 1.0 ST</v>
      </c>
      <c r="G735" t="str">
        <f>"MGI:1341822"</f>
        <v>MGI:1341822</v>
      </c>
      <c r="H735" t="str">
        <f>"Eif4h"</f>
        <v>Eif4h</v>
      </c>
      <c r="I735" t="str">
        <f>"eukaryotic translation initiation factor 4H"</f>
        <v>eukaryotic translation initiation factor 4H</v>
      </c>
      <c r="J735" t="str">
        <f>"protein coding gene"</f>
        <v>protein coding gene</v>
      </c>
    </row>
    <row r="736" spans="1:10">
      <c r="A736">
        <v>10476702</v>
      </c>
      <c r="B736">
        <v>1.8432385310563</v>
      </c>
      <c r="C736">
        <v>0.15324550647309301</v>
      </c>
      <c r="E736" t="str">
        <f>"10476702"</f>
        <v>10476702</v>
      </c>
      <c r="F736" t="str">
        <f>"Affy 1.0 ST"</f>
        <v>Affy 1.0 ST</v>
      </c>
      <c r="G736" t="str">
        <f>"MGI:1350925"</f>
        <v>MGI:1350925</v>
      </c>
      <c r="H736" t="str">
        <f>"Sec23b"</f>
        <v>Sec23b</v>
      </c>
      <c r="I736" t="str">
        <f>"SEC23B (S. cerevisiae)"</f>
        <v>SEC23B (S. cerevisiae)</v>
      </c>
      <c r="J736" t="str">
        <f>"protein coding gene"</f>
        <v>protein coding gene</v>
      </c>
    </row>
    <row r="737" spans="1:10">
      <c r="A737">
        <v>10343611</v>
      </c>
      <c r="B737">
        <v>1.84291138426889</v>
      </c>
      <c r="C737">
        <v>0.238201722003785</v>
      </c>
      <c r="E737" t="str">
        <f>"10343611"</f>
        <v>10343611</v>
      </c>
      <c r="F737" t="str">
        <f>""</f>
        <v/>
      </c>
      <c r="G737" t="str">
        <f>"No associated gene"</f>
        <v>No associated gene</v>
      </c>
    </row>
    <row r="738" spans="1:10">
      <c r="A738">
        <v>10430071</v>
      </c>
      <c r="B738">
        <v>1.84172330860495</v>
      </c>
      <c r="C738">
        <v>0.22347907068197001</v>
      </c>
      <c r="E738" t="str">
        <f>"10430071"</f>
        <v>10430071</v>
      </c>
      <c r="F738" t="str">
        <f t="shared" ref="F738:F748" si="49">"Affy 1.0 ST"</f>
        <v>Affy 1.0 ST</v>
      </c>
      <c r="G738" t="str">
        <f>"MGI:1931028"</f>
        <v>MGI:1931028</v>
      </c>
      <c r="H738" t="str">
        <f>"Recql4"</f>
        <v>Recql4</v>
      </c>
      <c r="I738" t="str">
        <f>"RecQ protein-like 4"</f>
        <v>RecQ protein-like 4</v>
      </c>
      <c r="J738" t="str">
        <f>"protein coding gene"</f>
        <v>protein coding gene</v>
      </c>
    </row>
    <row r="739" spans="1:10">
      <c r="A739">
        <v>10599781</v>
      </c>
      <c r="B739">
        <v>1.8378062615305899</v>
      </c>
      <c r="C739">
        <v>0.124240092536557</v>
      </c>
      <c r="E739" t="str">
        <f>"10599781"</f>
        <v>10599781</v>
      </c>
      <c r="F739" t="str">
        <f t="shared" si="49"/>
        <v>Affy 1.0 ST</v>
      </c>
      <c r="G739" t="str">
        <f>"MGI:1919709"</f>
        <v>MGI:1919709</v>
      </c>
      <c r="H739" t="str">
        <f>"Htatsf1"</f>
        <v>Htatsf1</v>
      </c>
      <c r="I739" t="str">
        <f>"HIV TAT specific factor 1"</f>
        <v>HIV TAT specific factor 1</v>
      </c>
      <c r="J739" t="str">
        <f>"protein coding gene"</f>
        <v>protein coding gene</v>
      </c>
    </row>
    <row r="740" spans="1:10">
      <c r="A740">
        <v>10456988</v>
      </c>
      <c r="B740">
        <v>1.8346447804136301</v>
      </c>
      <c r="C740">
        <v>0.20128758202855701</v>
      </c>
      <c r="E740" t="str">
        <f>"10456988"</f>
        <v>10456988</v>
      </c>
      <c r="F740" t="str">
        <f t="shared" si="49"/>
        <v>Affy 1.0 ST</v>
      </c>
      <c r="G740" t="str">
        <f>"MGI:2135606"</f>
        <v>MGI:2135606</v>
      </c>
      <c r="H740" t="str">
        <f>"Pard6g"</f>
        <v>Pard6g</v>
      </c>
      <c r="I740" t="str">
        <f>"par-6 partitioning defective 6 homolog gamma (C. elegans)"</f>
        <v>par-6 partitioning defective 6 homolog gamma (C. elegans)</v>
      </c>
      <c r="J740" t="str">
        <f>"protein coding gene"</f>
        <v>protein coding gene</v>
      </c>
    </row>
    <row r="741" spans="1:10">
      <c r="A741">
        <v>10432281</v>
      </c>
      <c r="B741">
        <v>1.8326149773673299</v>
      </c>
      <c r="C741">
        <v>0.12433974008472599</v>
      </c>
      <c r="E741" t="str">
        <f>"10432281"</f>
        <v>10432281</v>
      </c>
      <c r="F741" t="str">
        <f t="shared" si="49"/>
        <v>Affy 1.0 ST</v>
      </c>
      <c r="G741" t="str">
        <f>"MGI:108411"</f>
        <v>MGI:108411</v>
      </c>
      <c r="H741" t="str">
        <f>"Prkag1"</f>
        <v>Prkag1</v>
      </c>
      <c r="I741" t="s">
        <v>1944</v>
      </c>
      <c r="J741" t="s">
        <v>2010</v>
      </c>
    </row>
    <row r="742" spans="1:10">
      <c r="A742">
        <v>10424363</v>
      </c>
      <c r="B742">
        <v>1.83062199920208</v>
      </c>
      <c r="C742">
        <v>0.121842644099085</v>
      </c>
      <c r="E742" t="str">
        <f>"10424363"</f>
        <v>10424363</v>
      </c>
      <c r="F742" t="str">
        <f t="shared" si="49"/>
        <v>Affy 1.0 ST</v>
      </c>
      <c r="G742" t="str">
        <f>"MGI:1915751"</f>
        <v>MGI:1915751</v>
      </c>
      <c r="H742" t="str">
        <f>"Nsmce2"</f>
        <v>Nsmce2</v>
      </c>
      <c r="I742" t="s">
        <v>1861</v>
      </c>
      <c r="J742" t="s">
        <v>2010</v>
      </c>
    </row>
    <row r="743" spans="1:10">
      <c r="A743">
        <v>10516778</v>
      </c>
      <c r="B743">
        <v>1.8279870588038101</v>
      </c>
      <c r="C743">
        <v>0.14833443161975099</v>
      </c>
      <c r="E743" t="str">
        <f>"10516778"</f>
        <v>10516778</v>
      </c>
      <c r="F743" t="str">
        <f t="shared" si="49"/>
        <v>Affy 1.0 ST</v>
      </c>
      <c r="G743" t="str">
        <f>"MGI:1919955"</f>
        <v>MGI:1919955</v>
      </c>
      <c r="H743" t="str">
        <f>"Zcchc17"</f>
        <v>Zcchc17</v>
      </c>
      <c r="I743" t="s">
        <v>1862</v>
      </c>
      <c r="J743" t="s">
        <v>2010</v>
      </c>
    </row>
    <row r="744" spans="1:10">
      <c r="A744">
        <v>10491877</v>
      </c>
      <c r="B744">
        <v>1.82471401987954</v>
      </c>
      <c r="C744">
        <v>0.102195524870621</v>
      </c>
      <c r="E744" t="str">
        <f>"10491877"</f>
        <v>10491877</v>
      </c>
      <c r="F744" t="str">
        <f t="shared" si="49"/>
        <v>Affy 1.0 ST</v>
      </c>
      <c r="G744" t="str">
        <f>"MGI:1289213"</f>
        <v>MGI:1289213</v>
      </c>
      <c r="H744" t="str">
        <f>"D3Ertd751e"</f>
        <v>D3Ertd751e</v>
      </c>
      <c r="I744" t="s">
        <v>1863</v>
      </c>
      <c r="J744" t="s">
        <v>2010</v>
      </c>
    </row>
    <row r="745" spans="1:10">
      <c r="A745">
        <v>10369738</v>
      </c>
      <c r="B745">
        <v>1.82405254618955</v>
      </c>
      <c r="C745">
        <v>0.27974285082809303</v>
      </c>
      <c r="E745" t="str">
        <f>"10369738"</f>
        <v>10369738</v>
      </c>
      <c r="F745" t="str">
        <f t="shared" si="49"/>
        <v>Affy 1.0 ST</v>
      </c>
      <c r="G745" t="str">
        <f>"MGI:2135607"</f>
        <v>MGI:2135607</v>
      </c>
      <c r="H745" t="str">
        <f>"Sirt1"</f>
        <v>Sirt1</v>
      </c>
      <c r="I745" t="s">
        <v>1864</v>
      </c>
      <c r="J745" t="s">
        <v>2010</v>
      </c>
    </row>
    <row r="746" spans="1:10">
      <c r="A746">
        <v>10456423</v>
      </c>
      <c r="B746">
        <v>1.81595175197734</v>
      </c>
      <c r="C746">
        <v>2.50454179756299E-2</v>
      </c>
      <c r="E746" t="str">
        <f>"10456423"</f>
        <v>10456423</v>
      </c>
      <c r="F746" t="str">
        <f t="shared" si="49"/>
        <v>Affy 1.0 ST</v>
      </c>
      <c r="G746" t="str">
        <f>"MGI:1919374"</f>
        <v>MGI:1919374</v>
      </c>
      <c r="H746" t="str">
        <f>"Seh1l"</f>
        <v>Seh1l</v>
      </c>
      <c r="I746" t="str">
        <f>"SEH1-like (S. cerevisiae"</f>
        <v>SEH1-like (S. cerevisiae</v>
      </c>
      <c r="J746" t="str">
        <f>"protein coding gene"</f>
        <v>protein coding gene</v>
      </c>
    </row>
    <row r="747" spans="1:10">
      <c r="A747">
        <v>10350377</v>
      </c>
      <c r="B747">
        <v>1.8135778110242899</v>
      </c>
      <c r="C747">
        <v>0.18794004382884799</v>
      </c>
      <c r="E747" t="str">
        <f>"10350377"</f>
        <v>10350377</v>
      </c>
      <c r="F747" t="str">
        <f t="shared" si="49"/>
        <v>Affy 1.0 ST</v>
      </c>
      <c r="G747" t="str">
        <f>"MGI:2444487"</f>
        <v>MGI:2444487</v>
      </c>
      <c r="H747" t="str">
        <f>"Zbtb41"</f>
        <v>Zbtb41</v>
      </c>
      <c r="I747" t="str">
        <f>"zinc finger and BTB domain containing 41 homolog"</f>
        <v>zinc finger and BTB domain containing 41 homolog</v>
      </c>
      <c r="J747" t="str">
        <f>"protein coding gene"</f>
        <v>protein coding gene</v>
      </c>
    </row>
    <row r="748" spans="1:10">
      <c r="A748">
        <v>10411432</v>
      </c>
      <c r="B748">
        <v>1.8118673205106099</v>
      </c>
      <c r="C748">
        <v>0.26141946617865203</v>
      </c>
      <c r="E748" t="str">
        <f>"10411432"</f>
        <v>10411432</v>
      </c>
      <c r="F748" t="str">
        <f t="shared" si="49"/>
        <v>Affy 1.0 ST</v>
      </c>
      <c r="G748" t="str">
        <f>"MGI:2145443"</f>
        <v>MGI:2145443</v>
      </c>
      <c r="H748" t="str">
        <f>"Utp15"</f>
        <v>Utp15</v>
      </c>
      <c r="I748" t="s">
        <v>1865</v>
      </c>
      <c r="J748" t="s">
        <v>2010</v>
      </c>
    </row>
    <row r="749" spans="1:10">
      <c r="A749">
        <v>10342416</v>
      </c>
      <c r="B749">
        <v>1.8115256465892899</v>
      </c>
      <c r="C749">
        <v>7.62699196593076E-2</v>
      </c>
      <c r="E749" t="str">
        <f>"10342416"</f>
        <v>10342416</v>
      </c>
      <c r="F749" t="str">
        <f>""</f>
        <v/>
      </c>
      <c r="G749" t="str">
        <f>"No associated gene"</f>
        <v>No associated gene</v>
      </c>
    </row>
    <row r="750" spans="1:10">
      <c r="A750">
        <v>10487513</v>
      </c>
      <c r="B750">
        <v>1.80780913741534</v>
      </c>
      <c r="C750">
        <v>8.1807979406943399E-2</v>
      </c>
      <c r="E750" t="str">
        <f>"10487513"</f>
        <v>10487513</v>
      </c>
      <c r="F750" t="str">
        <f>"Affy 1.0 ST"</f>
        <v>Affy 1.0 ST</v>
      </c>
      <c r="G750" t="str">
        <f>"MGI:103097"</f>
        <v>MGI:103097</v>
      </c>
      <c r="H750" t="str">
        <f>"Anapc1"</f>
        <v>Anapc1</v>
      </c>
      <c r="I750" t="str">
        <f>"anaphase promoting complex subunit 1"</f>
        <v>anaphase promoting complex subunit 1</v>
      </c>
      <c r="J750" t="str">
        <f>"protein coding gene"</f>
        <v>protein coding gene</v>
      </c>
    </row>
    <row r="751" spans="1:10">
      <c r="A751">
        <v>10339354</v>
      </c>
      <c r="B751">
        <v>1.80424594111531</v>
      </c>
      <c r="C751">
        <v>6.1754814790711099E-2</v>
      </c>
      <c r="E751" t="str">
        <f>"10339354"</f>
        <v>10339354</v>
      </c>
      <c r="F751" t="str">
        <f>""</f>
        <v/>
      </c>
      <c r="G751" t="str">
        <f>"No associated gene"</f>
        <v>No associated gene</v>
      </c>
    </row>
    <row r="752" spans="1:10">
      <c r="A752">
        <v>10441620</v>
      </c>
      <c r="B752">
        <v>1.80421103586235</v>
      </c>
      <c r="C752">
        <v>0.12530772178501701</v>
      </c>
      <c r="E752" t="str">
        <f>"10441620"</f>
        <v>10441620</v>
      </c>
      <c r="F752" t="str">
        <f>"Affy 1.0 ST"</f>
        <v>Affy 1.0 ST</v>
      </c>
      <c r="G752" t="str">
        <f>"MGI:1922546"</f>
        <v>MGI:1922546</v>
      </c>
      <c r="H752" t="str">
        <f>"Fgfr1op"</f>
        <v>Fgfr1op</v>
      </c>
      <c r="I752" t="str">
        <f>"Fgfr1 oncogene partner"</f>
        <v>Fgfr1 oncogene partner</v>
      </c>
      <c r="J752" t="str">
        <f>"protein coding gene"</f>
        <v>protein coding gene</v>
      </c>
    </row>
    <row r="753" spans="1:10">
      <c r="A753">
        <v>10416169</v>
      </c>
      <c r="B753">
        <v>1.80023781507953</v>
      </c>
      <c r="C753">
        <v>0.151880681809686</v>
      </c>
      <c r="E753" t="str">
        <f>"10416169"</f>
        <v>10416169</v>
      </c>
      <c r="F753" t="str">
        <f>"Affy 1.0 ST"</f>
        <v>Affy 1.0 ST</v>
      </c>
      <c r="G753" t="str">
        <f>"MGI:95789"</f>
        <v>MGI:95789</v>
      </c>
      <c r="H753" t="str">
        <f>"Gnrh1"</f>
        <v>Gnrh1</v>
      </c>
      <c r="I753" t="str">
        <f>"gonadotropin releasing hormone 1"</f>
        <v>gonadotropin releasing hormone 1</v>
      </c>
      <c r="J753" t="str">
        <f>"protein coding gene"</f>
        <v>protein coding gene</v>
      </c>
    </row>
    <row r="754" spans="1:10">
      <c r="A754">
        <v>10504743</v>
      </c>
      <c r="B754">
        <v>1.7985958046497801</v>
      </c>
      <c r="C754">
        <v>0.115151851334316</v>
      </c>
      <c r="E754" t="str">
        <f>"10504743"</f>
        <v>10504743</v>
      </c>
      <c r="F754" t="str">
        <f>"Affy 1.0 ST"</f>
        <v>Affy 1.0 ST</v>
      </c>
      <c r="G754" t="str">
        <f>"MGI:2149820"</f>
        <v>MGI:2149820</v>
      </c>
      <c r="H754" t="str">
        <f>"Nans"</f>
        <v>Nans</v>
      </c>
      <c r="I754" t="str">
        <f>"N-acetylneuraminic acid synthase (sialic acid synthase)"</f>
        <v>N-acetylneuraminic acid synthase (sialic acid synthase)</v>
      </c>
      <c r="J754" t="str">
        <f>"protein coding gene"</f>
        <v>protein coding gene</v>
      </c>
    </row>
    <row r="755" spans="1:10">
      <c r="A755">
        <v>10344821</v>
      </c>
      <c r="B755">
        <v>1.79680128750409</v>
      </c>
      <c r="C755">
        <v>5.5192215269101397E-2</v>
      </c>
      <c r="E755" t="str">
        <f>"10344821"</f>
        <v>10344821</v>
      </c>
      <c r="F755" t="str">
        <f>"Affy 1.0 ST"</f>
        <v>Affy 1.0 ST</v>
      </c>
      <c r="G755" t="str">
        <f>"MGI:2681832"</f>
        <v>MGI:2681832</v>
      </c>
      <c r="H755" t="str">
        <f>"Cspp1"</f>
        <v>Cspp1</v>
      </c>
      <c r="I755" t="str">
        <f>"centrosome and spindle pole associated protein 1"</f>
        <v>centrosome and spindle pole associated protein 1</v>
      </c>
      <c r="J755" t="str">
        <f>"protein coding gene"</f>
        <v>protein coding gene</v>
      </c>
    </row>
    <row r="756" spans="1:10">
      <c r="A756">
        <v>10342366</v>
      </c>
      <c r="B756">
        <v>1.7967220861584401</v>
      </c>
      <c r="C756">
        <v>4.8159227355538098E-2</v>
      </c>
      <c r="E756" t="str">
        <f>"10342366"</f>
        <v>10342366</v>
      </c>
      <c r="F756" t="str">
        <f>""</f>
        <v/>
      </c>
      <c r="G756" t="str">
        <f>"No associated gene"</f>
        <v>No associated gene</v>
      </c>
    </row>
    <row r="757" spans="1:10">
      <c r="A757">
        <v>10522024</v>
      </c>
      <c r="B757">
        <v>1.7951010413216999</v>
      </c>
      <c r="C757">
        <v>0.25074679951269602</v>
      </c>
      <c r="E757" t="str">
        <f>"10522024"</f>
        <v>10522024</v>
      </c>
      <c r="F757" t="str">
        <f>"Affy 1.0 ST"</f>
        <v>Affy 1.0 ST</v>
      </c>
      <c r="G757" t="str">
        <f>"MGI:1889508"</f>
        <v>MGI:1889508</v>
      </c>
      <c r="H757" t="str">
        <f>"Tbc1d1"</f>
        <v>Tbc1d1</v>
      </c>
      <c r="I757" t="s">
        <v>1866</v>
      </c>
      <c r="J757" t="s">
        <v>2010</v>
      </c>
    </row>
    <row r="758" spans="1:10">
      <c r="A758">
        <v>10394627</v>
      </c>
      <c r="B758">
        <v>1.7925985525329</v>
      </c>
      <c r="C758">
        <v>0.129271286425377</v>
      </c>
      <c r="E758" t="str">
        <f>"10394627"</f>
        <v>10394627</v>
      </c>
      <c r="F758" t="str">
        <f>"Affy 1.0 ST"</f>
        <v>Affy 1.0 ST</v>
      </c>
      <c r="G758" t="str">
        <f>"MGI:1918419"</f>
        <v>MGI:1918419</v>
      </c>
      <c r="H758" t="str">
        <f>"Nbas"</f>
        <v>Nbas</v>
      </c>
      <c r="I758" t="str">
        <f>"neuroblastoma amplified sequence"</f>
        <v>neuroblastoma amplified sequence</v>
      </c>
      <c r="J758" t="str">
        <f>"protein coding gene"</f>
        <v>protein coding gene</v>
      </c>
    </row>
    <row r="759" spans="1:10">
      <c r="A759">
        <v>10342098</v>
      </c>
      <c r="B759">
        <v>1.79082082112477</v>
      </c>
      <c r="C759">
        <v>0.11991565364063</v>
      </c>
      <c r="E759" t="str">
        <f>"10342098"</f>
        <v>10342098</v>
      </c>
      <c r="F759" t="str">
        <f>""</f>
        <v/>
      </c>
      <c r="G759" t="str">
        <f>"No associated gene"</f>
        <v>No associated gene</v>
      </c>
    </row>
    <row r="760" spans="1:10">
      <c r="A760">
        <v>10444858</v>
      </c>
      <c r="B760">
        <v>1.7903348321872601</v>
      </c>
      <c r="C760">
        <v>0.20013641983071001</v>
      </c>
      <c r="E760" t="str">
        <f>"10444858"</f>
        <v>10444858</v>
      </c>
      <c r="F760" t="str">
        <f t="shared" ref="F760:F769" si="50">"Affy 1.0 ST"</f>
        <v>Affy 1.0 ST</v>
      </c>
      <c r="G760" t="str">
        <f>"MGI:2385321"</f>
        <v>MGI:2385321</v>
      </c>
      <c r="H760" t="str">
        <f>"Cchcr1"</f>
        <v>Cchcr1</v>
      </c>
      <c r="I760" t="str">
        <f>"coiled-coil alpha-helical rod protein 1"</f>
        <v>coiled-coil alpha-helical rod protein 1</v>
      </c>
      <c r="J760" t="str">
        <f>"protein coding gene"</f>
        <v>protein coding gene</v>
      </c>
    </row>
    <row r="761" spans="1:10">
      <c r="A761">
        <v>10583905</v>
      </c>
      <c r="B761">
        <v>1.78960947011091</v>
      </c>
      <c r="C761">
        <v>0.21189195475810799</v>
      </c>
      <c r="E761" t="str">
        <f>"10583905"</f>
        <v>10583905</v>
      </c>
      <c r="F761" t="str">
        <f t="shared" si="50"/>
        <v>Affy 1.0 ST</v>
      </c>
      <c r="G761" t="str">
        <f>"MGI:1335094"</f>
        <v>MGI:1335094</v>
      </c>
      <c r="H761" t="str">
        <f>"Sept7"</f>
        <v>Sept7</v>
      </c>
      <c r="I761" t="str">
        <f>"septin 7"</f>
        <v>septin 7</v>
      </c>
      <c r="J761" t="str">
        <f>"protein coding gene"</f>
        <v>protein coding gene</v>
      </c>
    </row>
    <row r="762" spans="1:10">
      <c r="A762">
        <v>10420320</v>
      </c>
      <c r="B762">
        <v>1.7879456202537101</v>
      </c>
      <c r="C762">
        <v>0.176136508215953</v>
      </c>
      <c r="E762" t="str">
        <f>"10420320"</f>
        <v>10420320</v>
      </c>
      <c r="F762" t="str">
        <f t="shared" si="50"/>
        <v>Affy 1.0 ST</v>
      </c>
      <c r="G762" t="str">
        <f>"MGI:2684927"</f>
        <v>MGI:2684927</v>
      </c>
      <c r="H762" t="str">
        <f>"Cenpj"</f>
        <v>Cenpj</v>
      </c>
      <c r="I762" t="str">
        <f>"centromere protein J"</f>
        <v>centromere protein J</v>
      </c>
      <c r="J762" t="str">
        <f>"protein coding gene"</f>
        <v>protein coding gene</v>
      </c>
    </row>
    <row r="763" spans="1:10">
      <c r="A763">
        <v>10434467</v>
      </c>
      <c r="B763">
        <v>1.78713377471418</v>
      </c>
      <c r="C763">
        <v>0.26671644556040203</v>
      </c>
      <c r="E763" t="str">
        <f>"10434467"</f>
        <v>10434467</v>
      </c>
      <c r="F763" t="str">
        <f t="shared" si="50"/>
        <v>Affy 1.0 ST</v>
      </c>
      <c r="G763" t="str">
        <f>"MGI:1096584"</f>
        <v>MGI:1096584</v>
      </c>
      <c r="H763" t="str">
        <f>"Psmd2"</f>
        <v>Psmd2</v>
      </c>
      <c r="I763" t="s">
        <v>1867</v>
      </c>
      <c r="J763" t="s">
        <v>2010</v>
      </c>
    </row>
    <row r="764" spans="1:10">
      <c r="A764">
        <v>10478967</v>
      </c>
      <c r="B764">
        <v>1.7835611990295199</v>
      </c>
      <c r="C764">
        <v>0.22071061563494901</v>
      </c>
      <c r="E764" t="str">
        <f>"10478967"</f>
        <v>10478967</v>
      </c>
      <c r="F764" t="str">
        <f t="shared" si="50"/>
        <v>Affy 1.0 ST</v>
      </c>
      <c r="G764" t="str">
        <f>"MGI:1914587"</f>
        <v>MGI:1914587</v>
      </c>
      <c r="H764" t="str">
        <f>"Cstf1"</f>
        <v>Cstf1</v>
      </c>
      <c r="I764" t="s">
        <v>1954</v>
      </c>
      <c r="J764" t="s">
        <v>2010</v>
      </c>
    </row>
    <row r="765" spans="1:10">
      <c r="A765">
        <v>10458757</v>
      </c>
      <c r="B765">
        <v>1.7798322871815699</v>
      </c>
      <c r="C765">
        <v>8.7872839995305499E-2</v>
      </c>
      <c r="E765" t="str">
        <f>"10458757"</f>
        <v>10458757</v>
      </c>
      <c r="F765" t="str">
        <f t="shared" si="50"/>
        <v>Affy 1.0 ST</v>
      </c>
      <c r="G765" t="str">
        <f>"MGI:1096551"</f>
        <v>MGI:1096551</v>
      </c>
      <c r="H765" t="str">
        <f>"Morf4l1"</f>
        <v>Morf4l1</v>
      </c>
      <c r="I765" t="str">
        <f>"mortality factor 4 like 1"</f>
        <v>mortality factor 4 like 1</v>
      </c>
      <c r="J765" t="str">
        <f>"protein coding gene"</f>
        <v>protein coding gene</v>
      </c>
    </row>
    <row r="766" spans="1:10">
      <c r="A766">
        <v>10531752</v>
      </c>
      <c r="B766">
        <v>1.77962723805366</v>
      </c>
      <c r="C766">
        <v>0.131202911710396</v>
      </c>
      <c r="E766" t="str">
        <f>"10531752"</f>
        <v>10531752</v>
      </c>
      <c r="F766" t="str">
        <f t="shared" si="50"/>
        <v>Affy 1.0 ST</v>
      </c>
      <c r="G766" t="str">
        <f>"MGI:2176740"</f>
        <v>MGI:2176740</v>
      </c>
      <c r="H766" t="str">
        <f>"Helq"</f>
        <v>Helq</v>
      </c>
      <c r="I766" t="s">
        <v>2039</v>
      </c>
      <c r="J766" t="s">
        <v>2010</v>
      </c>
    </row>
    <row r="767" spans="1:10">
      <c r="A767">
        <v>10503711</v>
      </c>
      <c r="B767">
        <v>1.77953991836064</v>
      </c>
      <c r="C767">
        <v>0.28087801358360198</v>
      </c>
      <c r="E767" t="str">
        <f>"10503711"</f>
        <v>10503711</v>
      </c>
      <c r="F767" t="str">
        <f t="shared" si="50"/>
        <v>Affy 1.0 ST</v>
      </c>
      <c r="G767" t="str">
        <f>"MGI:1349399"</f>
        <v>MGI:1349399</v>
      </c>
      <c r="H767" t="str">
        <f>"Casp8ap2"</f>
        <v>Casp8ap2</v>
      </c>
      <c r="I767" t="str">
        <f>"caspase 8 associated protein 2"</f>
        <v>caspase 8 associated protein 2</v>
      </c>
      <c r="J767" t="str">
        <f>"protein coding gene"</f>
        <v>protein coding gene</v>
      </c>
    </row>
    <row r="768" spans="1:10">
      <c r="A768">
        <v>10494662</v>
      </c>
      <c r="B768">
        <v>1.7779319594935401</v>
      </c>
      <c r="C768">
        <v>6.2891263515903503E-2</v>
      </c>
      <c r="E768" t="str">
        <f>"10494662"</f>
        <v>10494662</v>
      </c>
      <c r="F768" t="str">
        <f t="shared" si="50"/>
        <v>Affy 1.0 ST</v>
      </c>
      <c r="G768" t="str">
        <f>"MGI:109194"</f>
        <v>MGI:109194</v>
      </c>
      <c r="H768" t="str">
        <f>"Ywhah"</f>
        <v>Ywhah</v>
      </c>
      <c r="I768" t="s">
        <v>1955</v>
      </c>
      <c r="J768" t="s">
        <v>2010</v>
      </c>
    </row>
    <row r="769" spans="1:10">
      <c r="A769">
        <v>10387992</v>
      </c>
      <c r="B769">
        <v>1.77741691229148</v>
      </c>
      <c r="C769">
        <v>8.7592361911982095E-2</v>
      </c>
      <c r="E769" t="str">
        <f>"10387992"</f>
        <v>10387992</v>
      </c>
      <c r="F769" t="str">
        <f t="shared" si="50"/>
        <v>Affy 1.0 ST</v>
      </c>
      <c r="G769" t="str">
        <f>"MGI:104900"</f>
        <v>MGI:104900</v>
      </c>
      <c r="H769" t="str">
        <f>"Nup88"</f>
        <v>Nup88</v>
      </c>
      <c r="I769" t="str">
        <f>"nucleoporin 88"</f>
        <v>nucleoporin 88</v>
      </c>
      <c r="J769" t="str">
        <f>"protein coding gene"</f>
        <v>protein coding gene</v>
      </c>
    </row>
    <row r="770" spans="1:10">
      <c r="A770">
        <v>10339225</v>
      </c>
      <c r="B770">
        <v>1.77540248325184</v>
      </c>
      <c r="C770">
        <v>0.13283088730519599</v>
      </c>
      <c r="E770" t="str">
        <f>"10339225"</f>
        <v>10339225</v>
      </c>
      <c r="F770" t="str">
        <f>""</f>
        <v/>
      </c>
      <c r="G770" t="str">
        <f>"No associated gene"</f>
        <v>No associated gene</v>
      </c>
    </row>
    <row r="771" spans="1:10">
      <c r="A771">
        <v>10516926</v>
      </c>
      <c r="B771">
        <v>1.77505890088439</v>
      </c>
      <c r="C771">
        <v>0.21621115991971701</v>
      </c>
      <c r="E771" t="str">
        <f>"10516926"</f>
        <v>10516926</v>
      </c>
      <c r="F771" t="str">
        <f>"Affy 1.0 ST"</f>
        <v>Affy 1.0 ST</v>
      </c>
      <c r="G771" t="str">
        <f>"MGI:1914469"</f>
        <v>MGI:1914469</v>
      </c>
      <c r="H771" t="str">
        <f>"Med18"</f>
        <v>Med18</v>
      </c>
      <c r="I771" t="s">
        <v>1876</v>
      </c>
      <c r="J771" t="s">
        <v>2010</v>
      </c>
    </row>
    <row r="772" spans="1:10">
      <c r="A772">
        <v>10579468</v>
      </c>
      <c r="B772">
        <v>1.7738051349921899</v>
      </c>
      <c r="C772">
        <v>0.23243473998200401</v>
      </c>
      <c r="E772" t="str">
        <f>"10579468"</f>
        <v>10579468</v>
      </c>
      <c r="F772" t="str">
        <f>"Affy 1.0 ST"</f>
        <v>Affy 1.0 ST</v>
      </c>
      <c r="G772" t="str">
        <f>"MGI:1923728"</f>
        <v>MGI:1923728</v>
      </c>
      <c r="H772" t="str">
        <f>"Haus8"</f>
        <v>Haus8</v>
      </c>
      <c r="I772" t="s">
        <v>1877</v>
      </c>
      <c r="J772" t="s">
        <v>2010</v>
      </c>
    </row>
    <row r="773" spans="1:10">
      <c r="A773">
        <v>10572596</v>
      </c>
      <c r="B773">
        <v>1.7710413757605199</v>
      </c>
      <c r="C773">
        <v>0.14455362287854001</v>
      </c>
      <c r="E773" t="str">
        <f>"10572596"</f>
        <v>10572596</v>
      </c>
      <c r="F773" t="str">
        <f>"Affy 1.0 ST"</f>
        <v>Affy 1.0 ST</v>
      </c>
      <c r="G773" t="str">
        <f>"MGI:1915501"</f>
        <v>MGI:1915501</v>
      </c>
      <c r="H773" t="str">
        <f>"5430437P03Rik"</f>
        <v>5430437P03Rik</v>
      </c>
      <c r="I773" t="str">
        <f>"RIKEN cDNA 5430437P03 gene"</f>
        <v>RIKEN cDNA 5430437P03 gene</v>
      </c>
      <c r="J773" t="str">
        <f>"protein coding gene"</f>
        <v>protein coding gene</v>
      </c>
    </row>
    <row r="774" spans="1:10">
      <c r="A774">
        <v>10608671</v>
      </c>
      <c r="B774">
        <v>1.7677633277259099</v>
      </c>
      <c r="C774">
        <v>0.19065522378375899</v>
      </c>
      <c r="E774" t="str">
        <f>"10608671"</f>
        <v>10608671</v>
      </c>
      <c r="F774" t="str">
        <f>""</f>
        <v/>
      </c>
      <c r="G774" t="str">
        <f>"No associated gene"</f>
        <v>No associated gene</v>
      </c>
    </row>
    <row r="775" spans="1:10">
      <c r="A775">
        <v>10470973</v>
      </c>
      <c r="B775">
        <v>1.76775159500365</v>
      </c>
      <c r="C775">
        <v>7.19504464534549E-2</v>
      </c>
      <c r="E775" t="str">
        <f>"10470973"</f>
        <v>10470973</v>
      </c>
      <c r="F775" t="str">
        <f t="shared" ref="F775:F782" si="51">"Affy 1.0 ST"</f>
        <v>Affy 1.0 ST</v>
      </c>
      <c r="G775" t="str">
        <f>"MGI:2446190"</f>
        <v>MGI:2446190</v>
      </c>
      <c r="H775" t="str">
        <f>"Nup188"</f>
        <v>Nup188</v>
      </c>
      <c r="I775" t="str">
        <f>"nucleoporin 188"</f>
        <v>nucleoporin 188</v>
      </c>
      <c r="J775" t="str">
        <f t="shared" ref="J775:J780" si="52">"protein coding gene"</f>
        <v>protein coding gene</v>
      </c>
    </row>
    <row r="776" spans="1:10">
      <c r="A776">
        <v>10381744</v>
      </c>
      <c r="B776">
        <v>1.76564961450752</v>
      </c>
      <c r="C776">
        <v>0.16311807073290699</v>
      </c>
      <c r="E776" t="str">
        <f>"10381744"</f>
        <v>10381744</v>
      </c>
      <c r="F776" t="str">
        <f t="shared" si="51"/>
        <v>Affy 1.0 ST</v>
      </c>
      <c r="G776" t="str">
        <f>"MGI:99595"</f>
        <v>MGI:99595</v>
      </c>
      <c r="H776" t="str">
        <f>"Arf2"</f>
        <v>Arf2</v>
      </c>
      <c r="I776" t="str">
        <f>"ADP-ribosylation factor 2"</f>
        <v>ADP-ribosylation factor 2</v>
      </c>
      <c r="J776" t="str">
        <f t="shared" si="52"/>
        <v>protein coding gene</v>
      </c>
    </row>
    <row r="777" spans="1:10">
      <c r="A777">
        <v>10426875</v>
      </c>
      <c r="B777">
        <v>1.7642885615533599</v>
      </c>
      <c r="C777">
        <v>4.9267440385483301E-2</v>
      </c>
      <c r="E777" t="str">
        <f>"10426875"</f>
        <v>10426875</v>
      </c>
      <c r="F777" t="str">
        <f t="shared" si="51"/>
        <v>Affy 1.0 ST</v>
      </c>
      <c r="G777" t="str">
        <f>"MGI:1298366"</f>
        <v>MGI:1298366</v>
      </c>
      <c r="H777" t="str">
        <f>"Atf1"</f>
        <v>Atf1</v>
      </c>
      <c r="I777" t="str">
        <f>"activating transcription factor 1"</f>
        <v>activating transcription factor 1</v>
      </c>
      <c r="J777" t="str">
        <f t="shared" si="52"/>
        <v>protein coding gene</v>
      </c>
    </row>
    <row r="778" spans="1:10">
      <c r="A778">
        <v>10570771</v>
      </c>
      <c r="B778">
        <v>1.7637913683347199</v>
      </c>
      <c r="C778">
        <v>0.149925204917539</v>
      </c>
      <c r="E778" t="str">
        <f>"10570771"</f>
        <v>10570771</v>
      </c>
      <c r="F778" t="str">
        <f t="shared" si="51"/>
        <v>Affy 1.0 ST</v>
      </c>
      <c r="G778" t="str">
        <f>"MGI:1917410"</f>
        <v>MGI:1917410</v>
      </c>
      <c r="H778" t="str">
        <f>"Vps36"</f>
        <v>Vps36</v>
      </c>
      <c r="I778" t="str">
        <f>"vacuolar protein sorting 36 (yeast)"</f>
        <v>vacuolar protein sorting 36 (yeast)</v>
      </c>
      <c r="J778" t="str">
        <f t="shared" si="52"/>
        <v>protein coding gene</v>
      </c>
    </row>
    <row r="779" spans="1:10">
      <c r="A779">
        <v>10380689</v>
      </c>
      <c r="B779">
        <v>1.7630713383093499</v>
      </c>
      <c r="C779">
        <v>0.128799856662381</v>
      </c>
      <c r="E779" t="str">
        <f>"10380689"</f>
        <v>10380689</v>
      </c>
      <c r="F779" t="str">
        <f t="shared" si="51"/>
        <v>Affy 1.0 ST</v>
      </c>
      <c r="G779" t="str">
        <f>"MGI:105369"</f>
        <v>MGI:105369</v>
      </c>
      <c r="H779" t="str">
        <f>"Cbx1"</f>
        <v>Cbx1</v>
      </c>
      <c r="I779" t="str">
        <f>"chromobox homolog 1 (Drosophila HP1 beta)"</f>
        <v>chromobox homolog 1 (Drosophila HP1 beta)</v>
      </c>
      <c r="J779" t="str">
        <f t="shared" si="52"/>
        <v>protein coding gene</v>
      </c>
    </row>
    <row r="780" spans="1:10">
      <c r="A780">
        <v>10425905</v>
      </c>
      <c r="B780">
        <v>1.76262536555578</v>
      </c>
      <c r="C780">
        <v>0.24371693479400899</v>
      </c>
      <c r="E780" t="str">
        <f>"10425905"</f>
        <v>10425905</v>
      </c>
      <c r="F780" t="str">
        <f t="shared" si="51"/>
        <v>Affy 1.0 ST</v>
      </c>
      <c r="G780" t="str">
        <f>"MGI:1351502"</f>
        <v>MGI:1351502</v>
      </c>
      <c r="H780" t="str">
        <f>"Nup50"</f>
        <v>Nup50</v>
      </c>
      <c r="I780" t="str">
        <f>"nucleoporin 50"</f>
        <v>nucleoporin 50</v>
      </c>
      <c r="J780" t="str">
        <f t="shared" si="52"/>
        <v>protein coding gene</v>
      </c>
    </row>
    <row r="781" spans="1:10">
      <c r="A781">
        <v>10587488</v>
      </c>
      <c r="B781">
        <v>1.7614193747762701</v>
      </c>
      <c r="C781">
        <v>0.22527643864319999</v>
      </c>
      <c r="E781" t="str">
        <f>"10587488"</f>
        <v>10587488</v>
      </c>
      <c r="F781" t="str">
        <f t="shared" si="51"/>
        <v>Affy 1.0 ST</v>
      </c>
      <c r="G781" t="str">
        <f>"MGI:1922283"</f>
        <v>MGI:1922283</v>
      </c>
      <c r="H781" t="str">
        <f>"Mei4"</f>
        <v>Mei4</v>
      </c>
      <c r="I781" t="s">
        <v>1878</v>
      </c>
      <c r="J781" t="s">
        <v>2010</v>
      </c>
    </row>
    <row r="782" spans="1:10">
      <c r="A782">
        <v>10477583</v>
      </c>
      <c r="B782">
        <v>1.7613707087218</v>
      </c>
      <c r="C782">
        <v>0.16160643697885099</v>
      </c>
      <c r="E782" t="str">
        <f>"10477583"</f>
        <v>10477583</v>
      </c>
      <c r="F782" t="str">
        <f t="shared" si="51"/>
        <v>Affy 1.0 ST</v>
      </c>
      <c r="G782" t="str">
        <f>"MGI:97850"</f>
        <v>MGI:97850</v>
      </c>
      <c r="H782" t="str">
        <f>"Raly"</f>
        <v>Raly</v>
      </c>
      <c r="I782" t="str">
        <f>"hnRNP-associated with lethal yellow"</f>
        <v>hnRNP-associated with lethal yellow</v>
      </c>
      <c r="J782" t="str">
        <f>"protein coding gene"</f>
        <v>protein coding gene</v>
      </c>
    </row>
    <row r="783" spans="1:10">
      <c r="A783">
        <v>10341530</v>
      </c>
      <c r="B783">
        <v>1.7612391260628399</v>
      </c>
      <c r="C783">
        <v>0.236655902471752</v>
      </c>
      <c r="E783" t="str">
        <f>"10341530"</f>
        <v>10341530</v>
      </c>
      <c r="F783" t="str">
        <f>""</f>
        <v/>
      </c>
      <c r="G783" t="str">
        <f>"No associated gene"</f>
        <v>No associated gene</v>
      </c>
    </row>
    <row r="784" spans="1:10">
      <c r="A784">
        <v>10522976</v>
      </c>
      <c r="B784">
        <v>1.7611668062699</v>
      </c>
      <c r="C784">
        <v>0.122131124425432</v>
      </c>
      <c r="E784" t="str">
        <f>"10522976"</f>
        <v>10522976</v>
      </c>
      <c r="F784" t="str">
        <f>"Affy 1.0 ST"</f>
        <v>Affy 1.0 ST</v>
      </c>
      <c r="G784" t="str">
        <f>"MGI:106484"</f>
        <v>MGI:106484</v>
      </c>
      <c r="H784" t="str">
        <f>"Rufy3"</f>
        <v>Rufy3</v>
      </c>
      <c r="I784" t="str">
        <f>"RUN and FYVE domain containing 3"</f>
        <v>RUN and FYVE domain containing 3</v>
      </c>
      <c r="J784" t="str">
        <f>"protein coding gene"</f>
        <v>protein coding gene</v>
      </c>
    </row>
    <row r="785" spans="1:10">
      <c r="A785">
        <v>10339849</v>
      </c>
      <c r="B785">
        <v>1.75886803113896</v>
      </c>
      <c r="C785">
        <v>9.9840401652079094E-2</v>
      </c>
      <c r="E785" t="str">
        <f>"10339849"</f>
        <v>10339849</v>
      </c>
      <c r="F785" t="str">
        <f>""</f>
        <v/>
      </c>
      <c r="G785" t="str">
        <f>"No associated gene"</f>
        <v>No associated gene</v>
      </c>
    </row>
    <row r="786" spans="1:10">
      <c r="A786">
        <v>10372497</v>
      </c>
      <c r="B786">
        <v>1.75788501009397</v>
      </c>
      <c r="C786">
        <v>0.12014021793615599</v>
      </c>
      <c r="E786" t="str">
        <f>"10372497"</f>
        <v>10372497</v>
      </c>
      <c r="F786" t="str">
        <f>"Affy 1.0 ST"</f>
        <v>Affy 1.0 ST</v>
      </c>
      <c r="G786" t="str">
        <f>"MGI:1914066"</f>
        <v>MGI:1914066</v>
      </c>
      <c r="H786" t="str">
        <f>"Thap2"</f>
        <v>Thap2</v>
      </c>
      <c r="I786" t="s">
        <v>1879</v>
      </c>
      <c r="J786" t="s">
        <v>2010</v>
      </c>
    </row>
    <row r="787" spans="1:10">
      <c r="A787">
        <v>10445796</v>
      </c>
      <c r="B787">
        <v>1.75758589962553</v>
      </c>
      <c r="C787">
        <v>0.20089032683841801</v>
      </c>
      <c r="E787" t="str">
        <f>"10445796"</f>
        <v>10445796</v>
      </c>
      <c r="F787" t="str">
        <f>"Affy 1.0 ST"</f>
        <v>Affy 1.0 ST</v>
      </c>
      <c r="G787" t="str">
        <f>"MGI:2146818"</f>
        <v>MGI:2146818</v>
      </c>
      <c r="H787" t="str">
        <f>"AI314976"</f>
        <v>AI314976</v>
      </c>
      <c r="I787" t="str">
        <f>"expressed sequence AI314976"</f>
        <v>expressed sequence AI314976</v>
      </c>
      <c r="J787" t="str">
        <f>"protein coding gene"</f>
        <v>protein coding gene</v>
      </c>
    </row>
    <row r="788" spans="1:10">
      <c r="A788">
        <v>10419803</v>
      </c>
      <c r="B788">
        <v>1.75496450131656</v>
      </c>
      <c r="C788">
        <v>9.4454585677907502E-2</v>
      </c>
      <c r="E788" t="str">
        <f>"10419803"</f>
        <v>10419803</v>
      </c>
      <c r="F788" t="str">
        <f>"Affy 1.0 ST"</f>
        <v>Affy 1.0 ST</v>
      </c>
      <c r="G788" t="str">
        <f>"MGI:1921609"</f>
        <v>MGI:1921609</v>
      </c>
      <c r="H788" t="str">
        <f>"4931414P19Rik"</f>
        <v>4931414P19Rik</v>
      </c>
      <c r="I788" t="str">
        <f>"RIKEN cDNA 4931414P19 gene"</f>
        <v>RIKEN cDNA 4931414P19 gene</v>
      </c>
      <c r="J788" t="str">
        <f>"protein coding gene"</f>
        <v>protein coding gene</v>
      </c>
    </row>
    <row r="789" spans="1:10">
      <c r="A789">
        <v>10499777</v>
      </c>
      <c r="B789">
        <v>1.7549577529823699</v>
      </c>
      <c r="C789">
        <v>9.6733621651606205E-2</v>
      </c>
      <c r="E789" t="str">
        <f>"10499777"</f>
        <v>10499777</v>
      </c>
      <c r="F789" t="str">
        <f>"Affy 1.0 ST"</f>
        <v>Affy 1.0 ST</v>
      </c>
      <c r="G789" t="str">
        <f>"MGI:2140050"</f>
        <v>MGI:2140050</v>
      </c>
      <c r="H789" t="str">
        <f>"Ints3"</f>
        <v>Ints3</v>
      </c>
      <c r="I789" t="str">
        <f>"integrator complex subunit 3"</f>
        <v>integrator complex subunit 3</v>
      </c>
      <c r="J789" t="str">
        <f>"protein coding gene"</f>
        <v>protein coding gene</v>
      </c>
    </row>
    <row r="790" spans="1:10">
      <c r="A790">
        <v>10582845</v>
      </c>
      <c r="B790">
        <v>1.7543626552905001</v>
      </c>
      <c r="C790">
        <v>7.3541644626565705E-2</v>
      </c>
      <c r="E790" t="str">
        <f>"10582845"</f>
        <v>10582845</v>
      </c>
      <c r="F790" t="str">
        <f>""</f>
        <v/>
      </c>
      <c r="G790" t="str">
        <f>"No associated gene"</f>
        <v>No associated gene</v>
      </c>
    </row>
    <row r="791" spans="1:10">
      <c r="A791">
        <v>10528922</v>
      </c>
      <c r="B791">
        <v>1.75144287251195</v>
      </c>
      <c r="C791">
        <v>0.23826834507105199</v>
      </c>
      <c r="E791" t="str">
        <f>"10528922"</f>
        <v>10528922</v>
      </c>
      <c r="F791" t="str">
        <f t="shared" ref="F791:F798" si="53">"Affy 1.0 ST"</f>
        <v>Affy 1.0 ST</v>
      </c>
      <c r="G791" t="str">
        <f>"MGI:3645260"</f>
        <v>MGI:3645260</v>
      </c>
      <c r="H791" t="str">
        <f>"Gm4961"</f>
        <v>Gm4961</v>
      </c>
      <c r="I791" t="str">
        <f>"predicted pseudogene 4961"</f>
        <v>predicted pseudogene 4961</v>
      </c>
      <c r="J791" t="str">
        <f>"pseudogene"</f>
        <v>pseudogene</v>
      </c>
    </row>
    <row r="792" spans="1:10">
      <c r="A792">
        <v>10404187</v>
      </c>
      <c r="B792">
        <v>1.75139282851589</v>
      </c>
      <c r="C792">
        <v>0.15182029859986501</v>
      </c>
      <c r="E792" t="str">
        <f>"10404187"</f>
        <v>10404187</v>
      </c>
      <c r="F792" t="str">
        <f t="shared" si="53"/>
        <v>Affy 1.0 ST</v>
      </c>
      <c r="G792" t="str">
        <f>"MGI:1860486"</f>
        <v>MGI:1860486</v>
      </c>
      <c r="H792" t="str">
        <f>"Tdp2"</f>
        <v>Tdp2</v>
      </c>
      <c r="I792" t="str">
        <f>"tyrosyl-DNA phosphodiesterase 2"</f>
        <v>tyrosyl-DNA phosphodiesterase 2</v>
      </c>
      <c r="J792" t="str">
        <f>"protein coding gene"</f>
        <v>protein coding gene</v>
      </c>
    </row>
    <row r="793" spans="1:10">
      <c r="A793">
        <v>10381668</v>
      </c>
      <c r="B793">
        <v>1.75085944120339</v>
      </c>
      <c r="C793">
        <v>0.19824517173346101</v>
      </c>
      <c r="E793" t="str">
        <f>"10381668"</f>
        <v>10381668</v>
      </c>
      <c r="F793" t="str">
        <f t="shared" si="53"/>
        <v>Affy 1.0 ST</v>
      </c>
      <c r="G793" t="str">
        <f>"MGI:102579"</f>
        <v>MGI:102579</v>
      </c>
      <c r="H793" t="str">
        <f>"Nmt1"</f>
        <v>Nmt1</v>
      </c>
      <c r="I793" t="str">
        <f>"N-myristoyltransferase 1"</f>
        <v>N-myristoyltransferase 1</v>
      </c>
      <c r="J793" t="str">
        <f>"protein coding gene"</f>
        <v>protein coding gene</v>
      </c>
    </row>
    <row r="794" spans="1:10">
      <c r="A794">
        <v>10448292</v>
      </c>
      <c r="B794">
        <v>1.74836108238329</v>
      </c>
      <c r="C794">
        <v>0.16003641557963599</v>
      </c>
      <c r="E794" t="str">
        <f>"10448292"</f>
        <v>10448292</v>
      </c>
      <c r="F794" t="str">
        <f t="shared" si="53"/>
        <v>Affy 1.0 ST</v>
      </c>
      <c r="G794" t="str">
        <f>"MGI:2677480"</f>
        <v>MGI:2677480</v>
      </c>
      <c r="H794" t="str">
        <f>"Thoc6"</f>
        <v>Thoc6</v>
      </c>
      <c r="I794" t="str">
        <f>"THO complex 6 homolog (Drosophila)"</f>
        <v>THO complex 6 homolog (Drosophila)</v>
      </c>
      <c r="J794" t="str">
        <f>"protein coding gene"</f>
        <v>protein coding gene</v>
      </c>
    </row>
    <row r="795" spans="1:10">
      <c r="A795">
        <v>10550076</v>
      </c>
      <c r="B795">
        <v>1.74808810458202</v>
      </c>
      <c r="C795">
        <v>0.20031365361020301</v>
      </c>
      <c r="E795" t="str">
        <f>"10550076"</f>
        <v>10550076</v>
      </c>
      <c r="F795" t="str">
        <f t="shared" si="53"/>
        <v>Affy 1.0 ST</v>
      </c>
      <c r="G795" t="str">
        <f>"MGI:109274"</f>
        <v>MGI:109274</v>
      </c>
      <c r="H795" t="str">
        <f>"Trim28"</f>
        <v>Trim28</v>
      </c>
      <c r="I795" t="str">
        <f>"tripartite motif-containing 28"</f>
        <v>tripartite motif-containing 28</v>
      </c>
      <c r="J795" t="str">
        <f>"protein coding gene"</f>
        <v>protein coding gene</v>
      </c>
    </row>
    <row r="796" spans="1:10">
      <c r="A796">
        <v>10465812</v>
      </c>
      <c r="B796">
        <v>1.7439094443425001</v>
      </c>
      <c r="C796">
        <v>0.105621377048475</v>
      </c>
      <c r="E796" t="str">
        <f>"10465812"</f>
        <v>10465812</v>
      </c>
      <c r="F796" t="str">
        <f t="shared" si="53"/>
        <v>Affy 1.0 ST</v>
      </c>
      <c r="G796" t="str">
        <f>"MGI:1917637"</f>
        <v>MGI:1917637</v>
      </c>
      <c r="H796" t="str">
        <f>"Ttc9c"</f>
        <v>Ttc9c</v>
      </c>
      <c r="I796" t="str">
        <f>"tetratricopeptide repeat domain 9C"</f>
        <v>tetratricopeptide repeat domain 9C</v>
      </c>
      <c r="J796" t="str">
        <f>"protein coding gene"</f>
        <v>protein coding gene</v>
      </c>
    </row>
    <row r="797" spans="1:10">
      <c r="A797">
        <v>10603109</v>
      </c>
      <c r="B797">
        <v>1.73933847655968</v>
      </c>
      <c r="C797">
        <v>8.3244084813079003E-2</v>
      </c>
      <c r="E797" t="str">
        <f>"10603109"</f>
        <v>10603109</v>
      </c>
      <c r="F797" t="str">
        <f t="shared" si="53"/>
        <v>Affy 1.0 ST</v>
      </c>
      <c r="G797" t="str">
        <f>"MGI:99461"</f>
        <v>MGI:99461</v>
      </c>
      <c r="H797" t="str">
        <f>"Piga"</f>
        <v>Piga</v>
      </c>
      <c r="I797" t="s">
        <v>1961</v>
      </c>
      <c r="J797" t="s">
        <v>2010</v>
      </c>
    </row>
    <row r="798" spans="1:10">
      <c r="A798">
        <v>10493660</v>
      </c>
      <c r="B798">
        <v>1.7390825115946</v>
      </c>
      <c r="C798">
        <v>0.168626359655217</v>
      </c>
      <c r="E798" t="str">
        <f>"10493660"</f>
        <v>10493660</v>
      </c>
      <c r="F798" t="str">
        <f t="shared" si="53"/>
        <v>Affy 1.0 ST</v>
      </c>
      <c r="G798" t="str">
        <f>"MGI:1924845"</f>
        <v>MGI:1924845</v>
      </c>
      <c r="H798" t="str">
        <f>"Nup210l"</f>
        <v>Nup210l</v>
      </c>
      <c r="I798" t="str">
        <f>"nucleoporin 210-like"</f>
        <v>nucleoporin 210-like</v>
      </c>
      <c r="J798" t="str">
        <f>"protein coding gene"</f>
        <v>protein coding gene</v>
      </c>
    </row>
    <row r="799" spans="1:10">
      <c r="A799">
        <v>10343635</v>
      </c>
      <c r="B799">
        <v>1.73815221547829</v>
      </c>
      <c r="C799">
        <v>0.171974518097358</v>
      </c>
      <c r="E799" t="str">
        <f>"10343635"</f>
        <v>10343635</v>
      </c>
      <c r="F799" t="str">
        <f>""</f>
        <v/>
      </c>
      <c r="G799" t="str">
        <f>"No associated gene"</f>
        <v>No associated gene</v>
      </c>
    </row>
    <row r="800" spans="1:10">
      <c r="A800">
        <v>10606532</v>
      </c>
      <c r="B800">
        <v>1.73586920019975</v>
      </c>
      <c r="C800">
        <v>0.118871020206703</v>
      </c>
      <c r="E800" t="str">
        <f>"10606532"</f>
        <v>10606532</v>
      </c>
      <c r="F800" t="str">
        <f>"Affy 1.0 ST"</f>
        <v>Affy 1.0 ST</v>
      </c>
      <c r="G800" t="str">
        <f>"MGI:87881"</f>
        <v>MGI:87881</v>
      </c>
      <c r="H800" t="str">
        <f>"Acp1"</f>
        <v>Acp1</v>
      </c>
      <c r="I800" t="s">
        <v>1962</v>
      </c>
      <c r="J800" t="s">
        <v>2010</v>
      </c>
    </row>
    <row r="801" spans="1:10">
      <c r="A801">
        <v>10522627</v>
      </c>
      <c r="B801">
        <v>1.7332156321585901</v>
      </c>
      <c r="C801">
        <v>8.8616917201983503E-2</v>
      </c>
      <c r="E801" t="str">
        <f>"10522627"</f>
        <v>10522627</v>
      </c>
      <c r="F801" t="str">
        <f>"Affy 1.0 ST"</f>
        <v>Affy 1.0 ST</v>
      </c>
      <c r="G801" t="str">
        <f>"MGI:2681869"</f>
        <v>MGI:2681869</v>
      </c>
      <c r="H801" t="str">
        <f>"Cep135"</f>
        <v>Cep135</v>
      </c>
      <c r="I801" t="str">
        <f>"centrosomal protein 135"</f>
        <v>centrosomal protein 135</v>
      </c>
      <c r="J801" t="str">
        <f>"protein coding gene"</f>
        <v>protein coding gene</v>
      </c>
    </row>
    <row r="802" spans="1:10">
      <c r="A802">
        <v>10584309</v>
      </c>
      <c r="B802">
        <v>1.7302627034161799</v>
      </c>
      <c r="C802">
        <v>0.12111227032547101</v>
      </c>
      <c r="E802" t="str">
        <f>"10584309"</f>
        <v>10584309</v>
      </c>
      <c r="F802" t="str">
        <f>"Affy 1.0 ST"</f>
        <v>Affy 1.0 ST</v>
      </c>
      <c r="G802" t="str">
        <f>"MGI:2384579"</f>
        <v>MGI:2384579</v>
      </c>
      <c r="H802" t="str">
        <f>"BC024479"</f>
        <v>BC024479</v>
      </c>
      <c r="I802" t="str">
        <f>"cDNA sequence BC024479"</f>
        <v>cDNA sequence BC024479</v>
      </c>
      <c r="J802" t="str">
        <f>"protein coding gene"</f>
        <v>protein coding gene</v>
      </c>
    </row>
    <row r="803" spans="1:10">
      <c r="A803">
        <v>10541067</v>
      </c>
      <c r="B803">
        <v>1.72524284797079</v>
      </c>
      <c r="C803">
        <v>5.7979187480121201E-2</v>
      </c>
      <c r="E803" t="str">
        <f>"10541067"</f>
        <v>10541067</v>
      </c>
      <c r="F803" t="str">
        <f>"Affy 1.0 ST"</f>
        <v>Affy 1.0 ST</v>
      </c>
      <c r="G803" t="str">
        <f>"MGI:1923731"</f>
        <v>MGI:1923731</v>
      </c>
      <c r="H803" t="str">
        <f>"Eif4a3"</f>
        <v>Eif4a3</v>
      </c>
      <c r="I803" t="str">
        <f>"eukaryotic translation initiation factor 4A3"</f>
        <v>eukaryotic translation initiation factor 4A3</v>
      </c>
      <c r="J803" t="str">
        <f>"protein coding gene"</f>
        <v>protein coding gene</v>
      </c>
    </row>
    <row r="804" spans="1:10">
      <c r="A804">
        <v>10338760</v>
      </c>
      <c r="B804">
        <v>1.72500348316587</v>
      </c>
      <c r="C804">
        <v>0.14260301330328301</v>
      </c>
      <c r="E804" t="str">
        <f>"10338760"</f>
        <v>10338760</v>
      </c>
      <c r="F804" t="str">
        <f>""</f>
        <v/>
      </c>
      <c r="G804" t="str">
        <f>"No associated gene"</f>
        <v>No associated gene</v>
      </c>
    </row>
    <row r="805" spans="1:10">
      <c r="A805">
        <v>10593937</v>
      </c>
      <c r="B805">
        <v>1.72318571987193</v>
      </c>
      <c r="C805">
        <v>0.14990124965025201</v>
      </c>
      <c r="E805" t="str">
        <f>"10593937"</f>
        <v>10593937</v>
      </c>
      <c r="F805" t="str">
        <f>"Affy 1.0 ST"</f>
        <v>Affy 1.0 ST</v>
      </c>
      <c r="G805" t="str">
        <f>"MGI:97075"</f>
        <v>MGI:97075</v>
      </c>
      <c r="H805" t="str">
        <f>"Mpi"</f>
        <v>Mpi</v>
      </c>
      <c r="I805" t="str">
        <f>"mannose phosphate isomerase"</f>
        <v>mannose phosphate isomerase</v>
      </c>
      <c r="J805" t="str">
        <f>"protein coding gene"</f>
        <v>protein coding gene</v>
      </c>
    </row>
    <row r="806" spans="1:10">
      <c r="A806">
        <v>10503305</v>
      </c>
      <c r="B806">
        <v>1.7226639601651199</v>
      </c>
      <c r="C806">
        <v>0.16109170506289799</v>
      </c>
      <c r="E806" t="str">
        <f>"10503305"</f>
        <v>10503305</v>
      </c>
      <c r="F806" t="str">
        <f>"Affy 1.0 ST"</f>
        <v>Affy 1.0 ST</v>
      </c>
      <c r="G806" t="str">
        <f>"MGI:1913435"</f>
        <v>MGI:1913435</v>
      </c>
      <c r="H806" t="str">
        <f>"1110037F02Rik"</f>
        <v>1110037F02Rik</v>
      </c>
      <c r="I806" t="str">
        <f>"RIKEN cDNA 1110037F02 gene"</f>
        <v>RIKEN cDNA 1110037F02 gene</v>
      </c>
      <c r="J806" t="str">
        <f>"protein coding gene"</f>
        <v>protein coding gene</v>
      </c>
    </row>
    <row r="807" spans="1:10">
      <c r="A807">
        <v>10340490</v>
      </c>
      <c r="B807">
        <v>1.7220507088343</v>
      </c>
      <c r="C807">
        <v>8.1532309002498402E-2</v>
      </c>
      <c r="E807" t="str">
        <f>"10340490"</f>
        <v>10340490</v>
      </c>
      <c r="F807" t="str">
        <f>""</f>
        <v/>
      </c>
      <c r="G807" t="str">
        <f>"No associated gene"</f>
        <v>No associated gene</v>
      </c>
    </row>
    <row r="808" spans="1:10">
      <c r="A808">
        <v>10579437</v>
      </c>
      <c r="B808">
        <v>1.72204229570186</v>
      </c>
      <c r="C808">
        <v>0.15889757219167699</v>
      </c>
      <c r="E808" t="str">
        <f>"10579437"</f>
        <v>10579437</v>
      </c>
      <c r="F808" t="str">
        <f>"Affy 1.0 ST"</f>
        <v>Affy 1.0 ST</v>
      </c>
      <c r="G808" t="str">
        <f>"MGI:1916403"</f>
        <v>MGI:1916403</v>
      </c>
      <c r="H808" t="str">
        <f>"Ccdc124"</f>
        <v>Ccdc124</v>
      </c>
      <c r="I808" t="str">
        <f>"coiled-coil domain containing 124"</f>
        <v>coiled-coil domain containing 124</v>
      </c>
      <c r="J808" t="str">
        <f>"protein coding gene"</f>
        <v>protein coding gene</v>
      </c>
    </row>
    <row r="809" spans="1:10">
      <c r="A809">
        <v>10567591</v>
      </c>
      <c r="B809">
        <v>1.72109926237592</v>
      </c>
      <c r="C809">
        <v>7.0835003140218997E-2</v>
      </c>
      <c r="E809" t="str">
        <f>"10567591"</f>
        <v>10567591</v>
      </c>
      <c r="F809" t="str">
        <f>""</f>
        <v/>
      </c>
      <c r="G809" t="str">
        <f>"No associated gene"</f>
        <v>No associated gene</v>
      </c>
    </row>
    <row r="810" spans="1:10">
      <c r="A810">
        <v>10478196</v>
      </c>
      <c r="B810">
        <v>1.71900589731721</v>
      </c>
      <c r="C810">
        <v>0.20216520197094301</v>
      </c>
      <c r="E810" t="str">
        <f>"10478196"</f>
        <v>10478196</v>
      </c>
      <c r="F810" t="str">
        <f>"Affy 1.0 ST"</f>
        <v>Affy 1.0 ST</v>
      </c>
      <c r="G810" t="str">
        <f>"MGI:98788"</f>
        <v>MGI:98788</v>
      </c>
      <c r="H810" t="str">
        <f>"Top1"</f>
        <v>Top1</v>
      </c>
      <c r="I810" t="str">
        <f>"topoisomerase (DNA) I"</f>
        <v>topoisomerase (DNA) I</v>
      </c>
      <c r="J810" t="str">
        <f>"protein coding gene"</f>
        <v>protein coding gene</v>
      </c>
    </row>
    <row r="811" spans="1:10">
      <c r="A811">
        <v>10434313</v>
      </c>
      <c r="B811">
        <v>1.7179130062747701</v>
      </c>
      <c r="C811">
        <v>0.18612691726174899</v>
      </c>
      <c r="E811" t="str">
        <f>"10434313"</f>
        <v>10434313</v>
      </c>
      <c r="F811" t="str">
        <f>"Affy 1.0 ST"</f>
        <v>Affy 1.0 ST</v>
      </c>
      <c r="G811" t="str">
        <f>"MGI:2447762"</f>
        <v>MGI:2447762</v>
      </c>
      <c r="H811" t="str">
        <f>"Yeats2"</f>
        <v>Yeats2</v>
      </c>
      <c r="I811" t="str">
        <f>"YEATS domain containing 2"</f>
        <v>YEATS domain containing 2</v>
      </c>
      <c r="J811" t="str">
        <f>"protein coding gene"</f>
        <v>protein coding gene</v>
      </c>
    </row>
    <row r="812" spans="1:10">
      <c r="A812">
        <v>10339023</v>
      </c>
      <c r="B812">
        <v>1.7151734828104901</v>
      </c>
      <c r="C812">
        <v>4.1290479013787899E-2</v>
      </c>
      <c r="E812" t="str">
        <f>"10339023"</f>
        <v>10339023</v>
      </c>
      <c r="F812" t="str">
        <f>""</f>
        <v/>
      </c>
      <c r="G812" t="str">
        <f>"No associated gene"</f>
        <v>No associated gene</v>
      </c>
    </row>
    <row r="813" spans="1:10">
      <c r="A813">
        <v>10607933</v>
      </c>
      <c r="B813">
        <v>1.71479020920481</v>
      </c>
      <c r="C813">
        <v>0.124862243526075</v>
      </c>
      <c r="E813" t="str">
        <f>"10607933"</f>
        <v>10607933</v>
      </c>
      <c r="F813" t="str">
        <f>"Affy 1.0 ST"</f>
        <v>Affy 1.0 ST</v>
      </c>
      <c r="G813" t="str">
        <f>"MGI:106911"</f>
        <v>MGI:106911</v>
      </c>
      <c r="H813" t="str">
        <f>"Hccs"</f>
        <v>Hccs</v>
      </c>
      <c r="I813" t="str">
        <f>"holocytochrome c synthetase"</f>
        <v>holocytochrome c synthetase</v>
      </c>
      <c r="J813" t="str">
        <f>"protein coding gene"</f>
        <v>protein coding gene</v>
      </c>
    </row>
    <row r="814" spans="1:10">
      <c r="A814">
        <v>10510176</v>
      </c>
      <c r="B814">
        <v>1.71286712461813</v>
      </c>
      <c r="C814">
        <v>0.121916951024597</v>
      </c>
      <c r="E814" t="str">
        <f>"10510176"</f>
        <v>10510176</v>
      </c>
      <c r="F814" t="str">
        <f>"Affy 1.0 ST"</f>
        <v>Affy 1.0 ST</v>
      </c>
      <c r="G814" t="str">
        <f>"MGI:2443330"</f>
        <v>MGI:2443330</v>
      </c>
      <c r="H814" t="str">
        <f>"Vmn2r-ps14"</f>
        <v>Vmn2r-ps14</v>
      </c>
      <c r="I814" t="s">
        <v>1894</v>
      </c>
      <c r="J814" t="s">
        <v>2015</v>
      </c>
    </row>
    <row r="815" spans="1:10">
      <c r="A815">
        <v>10590563</v>
      </c>
      <c r="B815">
        <v>1.7112026744116799</v>
      </c>
      <c r="C815">
        <v>0.151704904124459</v>
      </c>
      <c r="E815" t="str">
        <f>"10590563"</f>
        <v>10590563</v>
      </c>
      <c r="F815" t="str">
        <f>"Affy 1.0 ST"</f>
        <v>Affy 1.0 ST</v>
      </c>
      <c r="G815" t="str">
        <f>"MGI:2142973"</f>
        <v>MGI:2142973</v>
      </c>
      <c r="H815" t="str">
        <f>"Lars2"</f>
        <v>Lars2</v>
      </c>
      <c r="I815" t="s">
        <v>1963</v>
      </c>
      <c r="J815" t="s">
        <v>2010</v>
      </c>
    </row>
    <row r="816" spans="1:10">
      <c r="A816">
        <v>10343746</v>
      </c>
      <c r="B816">
        <v>1.7083001358881</v>
      </c>
      <c r="C816">
        <v>0.20349760800298999</v>
      </c>
      <c r="E816" t="str">
        <f>"10343746"</f>
        <v>10343746</v>
      </c>
      <c r="F816" t="str">
        <f>""</f>
        <v/>
      </c>
      <c r="G816" t="str">
        <f>"No associated gene"</f>
        <v>No associated gene</v>
      </c>
    </row>
    <row r="817" spans="1:10">
      <c r="A817">
        <v>10343769</v>
      </c>
      <c r="B817">
        <v>1.7073225221636099</v>
      </c>
      <c r="C817">
        <v>0.16866139781485201</v>
      </c>
      <c r="E817" t="str">
        <f>"10343769"</f>
        <v>10343769</v>
      </c>
      <c r="F817" t="str">
        <f>""</f>
        <v/>
      </c>
      <c r="G817" t="str">
        <f>"No associated gene"</f>
        <v>No associated gene</v>
      </c>
    </row>
    <row r="818" spans="1:10">
      <c r="A818">
        <v>10369867</v>
      </c>
      <c r="B818">
        <v>1.70447604929823</v>
      </c>
      <c r="C818">
        <v>0.156990768172349</v>
      </c>
      <c r="E818" t="str">
        <f>"10369867"</f>
        <v>10369867</v>
      </c>
      <c r="F818" t="str">
        <f t="shared" ref="F818:F823" si="54">"Affy 1.0 ST"</f>
        <v>Affy 1.0 ST</v>
      </c>
      <c r="G818" t="str">
        <f>"MGI:107810"</f>
        <v>MGI:107810</v>
      </c>
      <c r="H818" t="str">
        <f>"Tfam"</f>
        <v>Tfam</v>
      </c>
      <c r="I818" t="s">
        <v>1889</v>
      </c>
      <c r="J818" t="s">
        <v>2010</v>
      </c>
    </row>
    <row r="819" spans="1:10">
      <c r="A819">
        <v>10490225</v>
      </c>
      <c r="B819">
        <v>1.7038184752879699</v>
      </c>
      <c r="C819">
        <v>8.8596444409505606E-2</v>
      </c>
      <c r="E819" t="str">
        <f>"10490225"</f>
        <v>10490225</v>
      </c>
      <c r="F819" t="str">
        <f t="shared" si="54"/>
        <v>Affy 1.0 ST</v>
      </c>
      <c r="G819" t="str">
        <f>"MGI:1913640"</f>
        <v>MGI:1913640</v>
      </c>
      <c r="H819" t="str">
        <f>"Slmo2"</f>
        <v>Slmo2</v>
      </c>
      <c r="I819" t="str">
        <f>"slowmo homolog 2 (Drosophila)"</f>
        <v>slowmo homolog 2 (Drosophila)</v>
      </c>
      <c r="J819" t="str">
        <f>"protein coding gene"</f>
        <v>protein coding gene</v>
      </c>
    </row>
    <row r="820" spans="1:10">
      <c r="A820">
        <v>10562578</v>
      </c>
      <c r="B820">
        <v>1.70287913789297</v>
      </c>
      <c r="C820">
        <v>7.5005189687419094E-2</v>
      </c>
      <c r="E820" t="str">
        <f>"10562578"</f>
        <v>10562578</v>
      </c>
      <c r="F820" t="str">
        <f t="shared" si="54"/>
        <v>Affy 1.0 ST</v>
      </c>
      <c r="G820" t="str">
        <f>"MGI:1913411"</f>
        <v>MGI:1913411</v>
      </c>
      <c r="H820" t="str">
        <f>"Pop4"</f>
        <v>Pop4</v>
      </c>
      <c r="I820" t="s">
        <v>1890</v>
      </c>
      <c r="J820" t="s">
        <v>2010</v>
      </c>
    </row>
    <row r="821" spans="1:10">
      <c r="A821">
        <v>10376603</v>
      </c>
      <c r="B821">
        <v>1.7027312680475299</v>
      </c>
      <c r="C821">
        <v>0.19154429151713401</v>
      </c>
      <c r="E821" t="str">
        <f>"10376603"</f>
        <v>10376603</v>
      </c>
      <c r="F821" t="str">
        <f t="shared" si="54"/>
        <v>Affy 1.0 ST</v>
      </c>
      <c r="G821" t="str">
        <f>"MGI:1342307"</f>
        <v>MGI:1342307</v>
      </c>
      <c r="H821" t="str">
        <f>"Drg2"</f>
        <v>Drg2</v>
      </c>
      <c r="I821" t="str">
        <f>"developmentally regulated GTP binding protein 2"</f>
        <v>developmentally regulated GTP binding protein 2</v>
      </c>
      <c r="J821" t="str">
        <f>"protein coding gene"</f>
        <v>protein coding gene</v>
      </c>
    </row>
    <row r="822" spans="1:10">
      <c r="A822">
        <v>10369661</v>
      </c>
      <c r="B822">
        <v>1.7005337510155001</v>
      </c>
      <c r="C822">
        <v>0.13876494717888399</v>
      </c>
      <c r="E822" t="str">
        <f>"10369661"</f>
        <v>10369661</v>
      </c>
      <c r="F822" t="str">
        <f t="shared" si="54"/>
        <v>Affy 1.0 ST</v>
      </c>
      <c r="G822" t="str">
        <f>"MGI:1914750"</f>
        <v>MGI:1914750</v>
      </c>
      <c r="H822" t="str">
        <f>"Ccar1"</f>
        <v>Ccar1</v>
      </c>
      <c r="I822" t="str">
        <f>"cell division cycle and apoptosis regulator 1"</f>
        <v>cell division cycle and apoptosis regulator 1</v>
      </c>
      <c r="J822" t="str">
        <f>"protein coding gene"</f>
        <v>protein coding gene</v>
      </c>
    </row>
    <row r="823" spans="1:10">
      <c r="A823">
        <v>10397717</v>
      </c>
      <c r="B823">
        <v>1.69949651704229</v>
      </c>
      <c r="C823">
        <v>9.9160581636075204E-2</v>
      </c>
      <c r="E823" t="str">
        <f>"10397717"</f>
        <v>10397717</v>
      </c>
      <c r="F823" t="str">
        <f t="shared" si="54"/>
        <v>Affy 1.0 ST</v>
      </c>
      <c r="G823" t="str">
        <f>"MGI:1920036"</f>
        <v>MGI:1920036</v>
      </c>
      <c r="H823" t="str">
        <f>"Tdp1"</f>
        <v>Tdp1</v>
      </c>
      <c r="I823" t="str">
        <f>"tyrosyl-DNA phosphodiesterase 1"</f>
        <v>tyrosyl-DNA phosphodiesterase 1</v>
      </c>
      <c r="J823" t="str">
        <f>"protein coding gene"</f>
        <v>protein coding gene</v>
      </c>
    </row>
    <row r="824" spans="1:10">
      <c r="A824">
        <v>10339153</v>
      </c>
      <c r="B824">
        <v>1.6991415449443701</v>
      </c>
      <c r="C824">
        <v>0.105807155715235</v>
      </c>
      <c r="E824" t="str">
        <f>"10339153"</f>
        <v>10339153</v>
      </c>
      <c r="F824" t="str">
        <f>""</f>
        <v/>
      </c>
      <c r="G824" t="str">
        <f>"No associated gene"</f>
        <v>No associated gene</v>
      </c>
    </row>
    <row r="825" spans="1:10">
      <c r="A825">
        <v>10538214</v>
      </c>
      <c r="B825">
        <v>1.696980667154</v>
      </c>
      <c r="C825">
        <v>0.13192845826890301</v>
      </c>
      <c r="E825" t="str">
        <f>"10538214"</f>
        <v>10538214</v>
      </c>
      <c r="F825" t="str">
        <f t="shared" ref="F825:F830" si="55">"Affy 1.0 ST"</f>
        <v>Affy 1.0 ST</v>
      </c>
      <c r="G825" t="str">
        <f>"MGI:2442161"</f>
        <v>MGI:2442161</v>
      </c>
      <c r="H825" t="str">
        <f>"D330028D13Rik"</f>
        <v>D330028D13Rik</v>
      </c>
      <c r="I825" t="str">
        <f>"RIKEN cDNA D330028D13 gene"</f>
        <v>RIKEN cDNA D330028D13 gene</v>
      </c>
      <c r="J825" t="str">
        <f>"protein coding gene"</f>
        <v>protein coding gene</v>
      </c>
    </row>
    <row r="826" spans="1:10">
      <c r="A826">
        <v>10573266</v>
      </c>
      <c r="B826">
        <v>1.6924405496563399</v>
      </c>
      <c r="C826">
        <v>9.0735676929701997E-2</v>
      </c>
      <c r="E826" t="str">
        <f>"10573266"</f>
        <v>10573266</v>
      </c>
      <c r="F826" t="str">
        <f t="shared" si="55"/>
        <v>Affy 1.0 ST</v>
      </c>
      <c r="G826" t="str">
        <f>"MGI:97592"</f>
        <v>MGI:97592</v>
      </c>
      <c r="H826" t="str">
        <f>"Prkaca"</f>
        <v>Prkaca</v>
      </c>
      <c r="I826" t="s">
        <v>1891</v>
      </c>
      <c r="J826" t="s">
        <v>2010</v>
      </c>
    </row>
    <row r="827" spans="1:10">
      <c r="A827">
        <v>10491279</v>
      </c>
      <c r="B827">
        <v>1.6920771386465501</v>
      </c>
      <c r="C827">
        <v>0.14083606197137299</v>
      </c>
      <c r="E827" t="str">
        <f>"10491279"</f>
        <v>10491279</v>
      </c>
      <c r="F827" t="str">
        <f t="shared" si="55"/>
        <v>Affy 1.0 ST</v>
      </c>
      <c r="G827" t="str">
        <f>"MGI:99260"</f>
        <v>MGI:99260</v>
      </c>
      <c r="H827" t="str">
        <f>"Prkci"</f>
        <v>Prkci</v>
      </c>
      <c r="I827" t="s">
        <v>1765</v>
      </c>
      <c r="J827" t="s">
        <v>2010</v>
      </c>
    </row>
    <row r="828" spans="1:10">
      <c r="A828">
        <v>10482323</v>
      </c>
      <c r="B828">
        <v>1.69131670482741</v>
      </c>
      <c r="C828">
        <v>0.122169130674031</v>
      </c>
      <c r="E828" t="str">
        <f>"10482323"</f>
        <v>10482323</v>
      </c>
      <c r="F828" t="str">
        <f t="shared" si="55"/>
        <v>Affy 1.0 ST</v>
      </c>
      <c r="G828" t="str">
        <f>"MGI:1915107"</f>
        <v>MGI:1915107</v>
      </c>
      <c r="H828" t="str">
        <f>"Ppp6c"</f>
        <v>Ppp6c</v>
      </c>
      <c r="I828" t="s">
        <v>1766</v>
      </c>
      <c r="J828" t="s">
        <v>2010</v>
      </c>
    </row>
    <row r="829" spans="1:10">
      <c r="A829">
        <v>10480605</v>
      </c>
      <c r="B829">
        <v>1.6868008495479501</v>
      </c>
      <c r="C829">
        <v>8.1073545853337203E-2</v>
      </c>
      <c r="E829" t="str">
        <f>"10480605"</f>
        <v>10480605</v>
      </c>
      <c r="F829" t="str">
        <f t="shared" si="55"/>
        <v>Affy 1.0 ST</v>
      </c>
      <c r="G829" t="str">
        <f>"MGI:1931035"</f>
        <v>MGI:1931035</v>
      </c>
      <c r="H829" t="str">
        <f>"Cobra1"</f>
        <v>Cobra1</v>
      </c>
      <c r="I829" t="str">
        <f>"cofactor of BRCA1"</f>
        <v>cofactor of BRCA1</v>
      </c>
      <c r="J829" t="str">
        <f>"protein coding gene"</f>
        <v>protein coding gene</v>
      </c>
    </row>
    <row r="830" spans="1:10">
      <c r="A830">
        <v>10505276</v>
      </c>
      <c r="B830">
        <v>1.68579431881775</v>
      </c>
      <c r="C830">
        <v>4.71870259493729E-2</v>
      </c>
      <c r="E830" t="str">
        <f>"10505276"</f>
        <v>10505276</v>
      </c>
      <c r="F830" t="str">
        <f t="shared" si="55"/>
        <v>Affy 1.0 ST</v>
      </c>
      <c r="G830" t="str">
        <f>"MGI:1333843"</f>
        <v>MGI:1333843</v>
      </c>
      <c r="H830" t="str">
        <f>"Slc31a1"</f>
        <v>Slc31a1</v>
      </c>
      <c r="I830" t="s">
        <v>1767</v>
      </c>
      <c r="J830" t="s">
        <v>2010</v>
      </c>
    </row>
    <row r="831" spans="1:10">
      <c r="A831">
        <v>10343227</v>
      </c>
      <c r="B831">
        <v>1.6841293303173099</v>
      </c>
      <c r="C831">
        <v>1.3609106643627199E-2</v>
      </c>
      <c r="E831" t="str">
        <f>"10343227"</f>
        <v>10343227</v>
      </c>
      <c r="F831" t="str">
        <f>""</f>
        <v/>
      </c>
      <c r="G831" t="str">
        <f>"No associated gene"</f>
        <v>No associated gene</v>
      </c>
    </row>
    <row r="832" spans="1:10">
      <c r="A832">
        <v>10340920</v>
      </c>
      <c r="B832">
        <v>1.6825464032111901</v>
      </c>
      <c r="C832">
        <v>3.2268132570648998E-2</v>
      </c>
      <c r="E832" t="str">
        <f>"10340920"</f>
        <v>10340920</v>
      </c>
      <c r="F832" t="str">
        <f>""</f>
        <v/>
      </c>
      <c r="G832" t="str">
        <f>"No associated gene"</f>
        <v>No associated gene</v>
      </c>
    </row>
    <row r="833" spans="1:10">
      <c r="A833">
        <v>10573578</v>
      </c>
      <c r="B833">
        <v>1.68161045676647</v>
      </c>
      <c r="C833">
        <v>0.124520724336664</v>
      </c>
      <c r="E833" t="str">
        <f>"10573578"</f>
        <v>10573578</v>
      </c>
      <c r="F833" t="str">
        <f>"Affy 1.0 ST"</f>
        <v>Affy 1.0 ST</v>
      </c>
      <c r="G833" t="str">
        <f>"MGI:3041257"</f>
        <v>MGI:3041257</v>
      </c>
      <c r="H833" t="str">
        <f>"BC056474"</f>
        <v>BC056474</v>
      </c>
      <c r="I833" t="str">
        <f>"cDNA sequence BC056474"</f>
        <v>cDNA sequence BC056474</v>
      </c>
      <c r="J833" t="str">
        <f>"protein coding gene"</f>
        <v>protein coding gene</v>
      </c>
    </row>
    <row r="834" spans="1:10">
      <c r="A834">
        <v>10344126</v>
      </c>
      <c r="B834">
        <v>1.68082916293207</v>
      </c>
      <c r="C834">
        <v>8.2112331450981305E-2</v>
      </c>
      <c r="E834" t="str">
        <f>"10344126"</f>
        <v>10344126</v>
      </c>
      <c r="F834" t="str">
        <f>""</f>
        <v/>
      </c>
      <c r="G834" t="str">
        <f>"No associated gene"</f>
        <v>No associated gene</v>
      </c>
    </row>
    <row r="835" spans="1:10">
      <c r="A835">
        <v>10480672</v>
      </c>
      <c r="B835">
        <v>1.6805470283700901</v>
      </c>
      <c r="C835">
        <v>9.3098489574579293E-2</v>
      </c>
      <c r="E835" t="str">
        <f>"10480672"</f>
        <v>10480672</v>
      </c>
      <c r="F835" t="str">
        <f t="shared" ref="F835:F848" si="56">"Affy 1.0 ST"</f>
        <v>Affy 1.0 ST</v>
      </c>
      <c r="G835" t="str">
        <f>"MGI:1915725"</f>
        <v>MGI:1915725</v>
      </c>
      <c r="H835" t="str">
        <f>"Ssna1"</f>
        <v>Ssna1</v>
      </c>
      <c r="I835" t="str">
        <f>"Sjogren's syndrome nuclear autoantigen 1"</f>
        <v>Sjogren's syndrome nuclear autoantigen 1</v>
      </c>
      <c r="J835" t="str">
        <f>"protein coding gene"</f>
        <v>protein coding gene</v>
      </c>
    </row>
    <row r="836" spans="1:10">
      <c r="A836">
        <v>10473793</v>
      </c>
      <c r="B836">
        <v>1.6791096256840099</v>
      </c>
      <c r="C836">
        <v>9.1647370049696197E-2</v>
      </c>
      <c r="E836" t="str">
        <f>"10473793"</f>
        <v>10473793</v>
      </c>
      <c r="F836" t="str">
        <f t="shared" si="56"/>
        <v>Affy 1.0 ST</v>
      </c>
      <c r="G836" t="str">
        <f>"MGI:1098754"</f>
        <v>MGI:1098754</v>
      </c>
      <c r="H836" t="str">
        <f>"Psmc3"</f>
        <v>Psmc3</v>
      </c>
      <c r="I836" t="s">
        <v>1768</v>
      </c>
      <c r="J836" t="s">
        <v>2010</v>
      </c>
    </row>
    <row r="837" spans="1:10">
      <c r="A837">
        <v>10418247</v>
      </c>
      <c r="B837">
        <v>1.6757268586591401</v>
      </c>
      <c r="C837">
        <v>0.12595078371466201</v>
      </c>
      <c r="E837" t="str">
        <f>"10418247"</f>
        <v>10418247</v>
      </c>
      <c r="F837" t="str">
        <f t="shared" si="56"/>
        <v>Affy 1.0 ST</v>
      </c>
      <c r="G837" t="str">
        <f>"MGI:2443226"</f>
        <v>MGI:2443226</v>
      </c>
      <c r="H837" t="str">
        <f>"Pde12"</f>
        <v>Pde12</v>
      </c>
      <c r="I837" t="str">
        <f>"phosphodiesterase 12"</f>
        <v>phosphodiesterase 12</v>
      </c>
      <c r="J837" t="str">
        <f>"protein coding gene"</f>
        <v>protein coding gene</v>
      </c>
    </row>
    <row r="838" spans="1:10">
      <c r="A838">
        <v>10448030</v>
      </c>
      <c r="B838">
        <v>1.67018937135333</v>
      </c>
      <c r="C838">
        <v>0.15282204637633701</v>
      </c>
      <c r="E838" t="str">
        <f>"10448030"</f>
        <v>10448030</v>
      </c>
      <c r="F838" t="str">
        <f t="shared" si="56"/>
        <v>Affy 1.0 ST</v>
      </c>
      <c r="G838" t="str">
        <f>"MGI:3644727"</f>
        <v>MGI:3644727</v>
      </c>
      <c r="H838" t="str">
        <f>"Gm7423"</f>
        <v>Gm7423</v>
      </c>
      <c r="I838" t="str">
        <f>"predicted gene 7423"</f>
        <v>predicted gene 7423</v>
      </c>
      <c r="J838" t="str">
        <f>"pseudogene"</f>
        <v>pseudogene</v>
      </c>
    </row>
    <row r="839" spans="1:10">
      <c r="A839">
        <v>10423185</v>
      </c>
      <c r="B839">
        <v>1.6701606702287399</v>
      </c>
      <c r="C839">
        <v>0.115175770585075</v>
      </c>
      <c r="E839" t="str">
        <f>"10423185"</f>
        <v>10423185</v>
      </c>
      <c r="F839" t="str">
        <f t="shared" si="56"/>
        <v>Affy 1.0 ST</v>
      </c>
      <c r="G839" t="str">
        <f>"MGI:1261425"</f>
        <v>MGI:1261425</v>
      </c>
      <c r="H839" t="str">
        <f>"Drosha"</f>
        <v>Drosha</v>
      </c>
      <c r="I839" t="s">
        <v>1769</v>
      </c>
      <c r="J839" t="s">
        <v>2010</v>
      </c>
    </row>
    <row r="840" spans="1:10">
      <c r="A840">
        <v>10375941</v>
      </c>
      <c r="B840">
        <v>1.6698961117075899</v>
      </c>
      <c r="C840">
        <v>0.111348461830865</v>
      </c>
      <c r="E840" t="str">
        <f>"10375941"</f>
        <v>10375941</v>
      </c>
      <c r="F840" t="str">
        <f t="shared" si="56"/>
        <v>Affy 1.0 ST</v>
      </c>
      <c r="G840" t="str">
        <f>"MGI:106919"</f>
        <v>MGI:106919</v>
      </c>
      <c r="H840" t="str">
        <f>"Vdac1"</f>
        <v>Vdac1</v>
      </c>
      <c r="I840" t="str">
        <f>"voltage-dependent anion channel 1"</f>
        <v>voltage-dependent anion channel 1</v>
      </c>
      <c r="J840" t="str">
        <f>"protein coding gene"</f>
        <v>protein coding gene</v>
      </c>
    </row>
    <row r="841" spans="1:10">
      <c r="A841">
        <v>10551841</v>
      </c>
      <c r="B841">
        <v>1.6675357919365199</v>
      </c>
      <c r="C841">
        <v>9.9593814621916493E-2</v>
      </c>
      <c r="E841" t="str">
        <f>"10551841"</f>
        <v>10551841</v>
      </c>
      <c r="F841" t="str">
        <f t="shared" si="56"/>
        <v>Affy 1.0 ST</v>
      </c>
      <c r="G841" t="str">
        <f>"MGI:1917170"</f>
        <v>MGI:1917170</v>
      </c>
      <c r="H841" t="str">
        <f>"Polr2i"</f>
        <v>Polr2i</v>
      </c>
      <c r="I841" t="str">
        <f>"polymerase (RNA) II (DNA directed) polypeptide I"</f>
        <v>polymerase (RNA) II (DNA directed) polypeptide I</v>
      </c>
      <c r="J841" t="str">
        <f>"protein coding gene"</f>
        <v>protein coding gene</v>
      </c>
    </row>
    <row r="842" spans="1:10">
      <c r="A842">
        <v>10552337</v>
      </c>
      <c r="B842">
        <v>1.66573948738024</v>
      </c>
      <c r="C842">
        <v>9.6817988495250099E-2</v>
      </c>
      <c r="E842" t="str">
        <f>"10552337"</f>
        <v>10552337</v>
      </c>
      <c r="F842" t="str">
        <f t="shared" si="56"/>
        <v>Affy 1.0 ST</v>
      </c>
      <c r="G842" t="str">
        <f>"MGI:3648695"</f>
        <v>MGI:3648695</v>
      </c>
      <c r="H842" t="str">
        <f>"Hmg1l1"</f>
        <v>Hmg1l1</v>
      </c>
      <c r="I842" t="str">
        <f>"high-mobility group (nonhistone chromosomal) protein 1-like 1"</f>
        <v>high-mobility group (nonhistone chromosomal) protein 1-like 1</v>
      </c>
      <c r="J842" t="str">
        <f>"protein coding gene"</f>
        <v>protein coding gene</v>
      </c>
    </row>
    <row r="843" spans="1:10">
      <c r="A843">
        <v>10585625</v>
      </c>
      <c r="B843">
        <v>1.66514850880576</v>
      </c>
      <c r="C843">
        <v>7.5366261057497594E-2</v>
      </c>
      <c r="E843" t="str">
        <f>"10585625"</f>
        <v>10585625</v>
      </c>
      <c r="F843" t="str">
        <f t="shared" si="56"/>
        <v>Affy 1.0 ST</v>
      </c>
      <c r="G843" t="str">
        <f>"MGI:107157"</f>
        <v>MGI:107157</v>
      </c>
      <c r="H843" t="str">
        <f>"Sin3a"</f>
        <v>Sin3a</v>
      </c>
      <c r="I843" t="s">
        <v>1770</v>
      </c>
      <c r="J843" t="s">
        <v>2010</v>
      </c>
    </row>
    <row r="844" spans="1:10">
      <c r="A844">
        <v>10545346</v>
      </c>
      <c r="B844">
        <v>1.6646681082036601</v>
      </c>
      <c r="C844">
        <v>0.16469150022376</v>
      </c>
      <c r="E844" t="str">
        <f>"10545346"</f>
        <v>10545346</v>
      </c>
      <c r="F844" t="str">
        <f t="shared" si="56"/>
        <v>Affy 1.0 ST</v>
      </c>
      <c r="G844" t="str">
        <f>"MGI:1917206"</f>
        <v>MGI:1917206</v>
      </c>
      <c r="H844" t="str">
        <f>"Ptcd3"</f>
        <v>Ptcd3</v>
      </c>
      <c r="I844" t="str">
        <f>"pentatricopeptide repeat domain 3"</f>
        <v>pentatricopeptide repeat domain 3</v>
      </c>
      <c r="J844" t="str">
        <f>"protein coding gene"</f>
        <v>protein coding gene</v>
      </c>
    </row>
    <row r="845" spans="1:10">
      <c r="A845">
        <v>10452228</v>
      </c>
      <c r="B845">
        <v>1.6642191078122099</v>
      </c>
      <c r="C845">
        <v>3.12725004811341E-2</v>
      </c>
      <c r="E845" t="str">
        <f>"10452228"</f>
        <v>10452228</v>
      </c>
      <c r="F845" t="str">
        <f t="shared" si="56"/>
        <v>Affy 1.0 ST</v>
      </c>
      <c r="G845" t="str">
        <f>"MGI:1336214"</f>
        <v>MGI:1336214</v>
      </c>
      <c r="H845" t="str">
        <f>"Khsrp"</f>
        <v>Khsrp</v>
      </c>
      <c r="I845" t="str">
        <f>"KH-type splicing regulatory protein"</f>
        <v>KH-type splicing regulatory protein</v>
      </c>
      <c r="J845" t="str">
        <f>"protein coding gene"</f>
        <v>protein coding gene</v>
      </c>
    </row>
    <row r="846" spans="1:10">
      <c r="A846">
        <v>10549057</v>
      </c>
      <c r="B846">
        <v>1.6638270996537601</v>
      </c>
      <c r="C846">
        <v>0.161302556749707</v>
      </c>
      <c r="E846" t="str">
        <f>"10549057"</f>
        <v>10549057</v>
      </c>
      <c r="F846" t="str">
        <f t="shared" si="56"/>
        <v>Affy 1.0 ST</v>
      </c>
      <c r="G846" t="str">
        <f>"MGI:103021"</f>
        <v>MGI:103021</v>
      </c>
      <c r="H846" t="str">
        <f>"Recql"</f>
        <v>Recql</v>
      </c>
      <c r="I846" t="str">
        <f>"RecQ protein-like"</f>
        <v>RecQ protein-like</v>
      </c>
      <c r="J846" t="str">
        <f>"protein coding gene"</f>
        <v>protein coding gene</v>
      </c>
    </row>
    <row r="847" spans="1:10">
      <c r="A847">
        <v>10606217</v>
      </c>
      <c r="B847">
        <v>1.66234815207237</v>
      </c>
      <c r="C847">
        <v>0.116966574283509</v>
      </c>
      <c r="E847" t="str">
        <f>"10606217"</f>
        <v>10606217</v>
      </c>
      <c r="F847" t="str">
        <f t="shared" si="56"/>
        <v>Affy 1.0 ST</v>
      </c>
      <c r="G847" t="str">
        <f>"MGI:109533"</f>
        <v>MGI:109533</v>
      </c>
      <c r="H847" t="str">
        <f>"Abcb7"</f>
        <v>Abcb7</v>
      </c>
      <c r="I847" t="s">
        <v>1771</v>
      </c>
      <c r="J847" t="s">
        <v>2010</v>
      </c>
    </row>
    <row r="848" spans="1:10">
      <c r="A848">
        <v>10534441</v>
      </c>
      <c r="B848">
        <v>1.6598576870186601</v>
      </c>
      <c r="C848">
        <v>8.9247540991808996E-2</v>
      </c>
      <c r="E848" t="str">
        <f>"10534441"</f>
        <v>10534441</v>
      </c>
      <c r="F848" t="str">
        <f t="shared" si="56"/>
        <v>Affy 1.0 ST</v>
      </c>
      <c r="G848" t="str">
        <f>"MGI:2137624"</f>
        <v>MGI:2137624</v>
      </c>
      <c r="H848" t="str">
        <f>"Pom121"</f>
        <v>Pom121</v>
      </c>
      <c r="I848" t="str">
        <f>"nuclear pore membrane protein 121"</f>
        <v>nuclear pore membrane protein 121</v>
      </c>
      <c r="J848" t="str">
        <f>"protein coding gene"</f>
        <v>protein coding gene</v>
      </c>
    </row>
    <row r="849" spans="1:10">
      <c r="A849">
        <v>10339754</v>
      </c>
      <c r="B849">
        <v>1.6590551586567499</v>
      </c>
      <c r="C849">
        <v>0.12547522047899401</v>
      </c>
      <c r="E849" t="str">
        <f>"10339754"</f>
        <v>10339754</v>
      </c>
      <c r="F849" t="str">
        <f>""</f>
        <v/>
      </c>
      <c r="G849" t="str">
        <f>"No associated gene"</f>
        <v>No associated gene</v>
      </c>
    </row>
    <row r="850" spans="1:10">
      <c r="A850">
        <v>10580550</v>
      </c>
      <c r="B850">
        <v>1.65876339806874</v>
      </c>
      <c r="C850">
        <v>0.134189674821727</v>
      </c>
      <c r="E850" t="str">
        <f>"10580550"</f>
        <v>10580550</v>
      </c>
      <c r="F850" t="str">
        <f t="shared" ref="F850:F862" si="57">"Affy 1.0 ST"</f>
        <v>Affy 1.0 ST</v>
      </c>
      <c r="G850" t="str">
        <f>"MGI:1920563"</f>
        <v>MGI:1920563</v>
      </c>
      <c r="H850" t="str">
        <f>"Rpgrip1l"</f>
        <v>Rpgrip1l</v>
      </c>
      <c r="I850" t="str">
        <f>"Rpgrip1-like"</f>
        <v>Rpgrip1-like</v>
      </c>
      <c r="J850" t="str">
        <f>"protein coding gene"</f>
        <v>protein coding gene</v>
      </c>
    </row>
    <row r="851" spans="1:10">
      <c r="A851">
        <v>10503534</v>
      </c>
      <c r="B851">
        <v>1.6572780171658501</v>
      </c>
      <c r="C851">
        <v>0.12888152646357501</v>
      </c>
      <c r="E851" t="str">
        <f>"10503534"</f>
        <v>10503534</v>
      </c>
      <c r="F851" t="str">
        <f t="shared" si="57"/>
        <v>Affy 1.0 ST</v>
      </c>
      <c r="G851" t="str">
        <f>"MGI:1858199"</f>
        <v>MGI:1858199</v>
      </c>
      <c r="H851" t="str">
        <f>"Ccnc"</f>
        <v>Ccnc</v>
      </c>
      <c r="I851" t="str">
        <f>"cyclin C"</f>
        <v>cyclin C</v>
      </c>
      <c r="J851" t="str">
        <f>"protein coding gene"</f>
        <v>protein coding gene</v>
      </c>
    </row>
    <row r="852" spans="1:10">
      <c r="A852">
        <v>10534694</v>
      </c>
      <c r="B852">
        <v>1.6547007053712599</v>
      </c>
      <c r="C852">
        <v>9.9806830210269495E-2</v>
      </c>
      <c r="E852" t="str">
        <f>"10534694"</f>
        <v>10534694</v>
      </c>
      <c r="F852" t="str">
        <f t="shared" si="57"/>
        <v>Affy 1.0 ST</v>
      </c>
      <c r="G852" t="str">
        <f>"MGI:1933527"</f>
        <v>MGI:1933527</v>
      </c>
      <c r="H852" t="str">
        <f>"Srrt"</f>
        <v>Srrt</v>
      </c>
      <c r="I852" t="str">
        <f>"serrate RNA effector molecule homolog (Arabidopsis)"</f>
        <v>serrate RNA effector molecule homolog (Arabidopsis)</v>
      </c>
      <c r="J852" t="str">
        <f>"protein coding gene"</f>
        <v>protein coding gene</v>
      </c>
    </row>
    <row r="853" spans="1:10">
      <c r="A853">
        <v>10539026</v>
      </c>
      <c r="B853">
        <v>1.6513245544948401</v>
      </c>
      <c r="C853">
        <v>0.13381791675749899</v>
      </c>
      <c r="E853" t="str">
        <f>"10539026"</f>
        <v>10539026</v>
      </c>
      <c r="F853" t="str">
        <f t="shared" si="57"/>
        <v>Affy 1.0 ST</v>
      </c>
      <c r="G853" t="str">
        <f>"MGI:1923864"</f>
        <v>MGI:1923864</v>
      </c>
      <c r="H853" t="str">
        <f>"Immt"</f>
        <v>Immt</v>
      </c>
      <c r="I853" t="s">
        <v>1772</v>
      </c>
      <c r="J853" t="s">
        <v>2010</v>
      </c>
    </row>
    <row r="854" spans="1:10">
      <c r="A854">
        <v>10485656</v>
      </c>
      <c r="B854">
        <v>1.6488108963144901</v>
      </c>
      <c r="C854">
        <v>4.7013276049508002E-2</v>
      </c>
      <c r="E854" t="str">
        <f>"10485656"</f>
        <v>10485656</v>
      </c>
      <c r="F854" t="str">
        <f t="shared" si="57"/>
        <v>Affy 1.0 ST</v>
      </c>
      <c r="G854" t="str">
        <f>"MGI:1925016"</f>
        <v>MGI:1925016</v>
      </c>
      <c r="H854" t="str">
        <f>"Elp4"</f>
        <v>Elp4</v>
      </c>
      <c r="I854" t="str">
        <f>"elongation protein 4 homolog (S. cerevisiae)"</f>
        <v>elongation protein 4 homolog (S. cerevisiae)</v>
      </c>
      <c r="J854" t="str">
        <f>"protein coding gene"</f>
        <v>protein coding gene</v>
      </c>
    </row>
    <row r="855" spans="1:10">
      <c r="A855">
        <v>10466317</v>
      </c>
      <c r="B855">
        <v>1.6432995893275399</v>
      </c>
      <c r="C855">
        <v>0.120114546966199</v>
      </c>
      <c r="E855" t="str">
        <f>"10466317"</f>
        <v>10466317</v>
      </c>
      <c r="F855" t="str">
        <f t="shared" si="57"/>
        <v>Affy 1.0 ST</v>
      </c>
      <c r="G855" t="str">
        <f>"MGI:104854"</f>
        <v>MGI:104854</v>
      </c>
      <c r="H855" t="str">
        <f>"Zfp91"</f>
        <v>Zfp91</v>
      </c>
      <c r="I855" t="str">
        <f>"zinc finger protein 91"</f>
        <v>zinc finger protein 91</v>
      </c>
      <c r="J855" t="str">
        <f>"protein coding gene"</f>
        <v>protein coding gene</v>
      </c>
    </row>
    <row r="856" spans="1:10">
      <c r="A856">
        <v>10490078</v>
      </c>
      <c r="B856">
        <v>1.6432620215679601</v>
      </c>
      <c r="C856">
        <v>7.8784815773358496E-2</v>
      </c>
      <c r="E856" t="str">
        <f>"10490078"</f>
        <v>10490078</v>
      </c>
      <c r="F856" t="str">
        <f t="shared" si="57"/>
        <v>Affy 1.0 ST</v>
      </c>
      <c r="G856" t="str">
        <f>"MGI:1197010"</f>
        <v>MGI:1197010</v>
      </c>
      <c r="H856" t="str">
        <f>"Sumo1"</f>
        <v>Sumo1</v>
      </c>
      <c r="I856" t="str">
        <f>"SMT3 suppressor of mif two 3 homolog 1 (yeast)"</f>
        <v>SMT3 suppressor of mif two 3 homolog 1 (yeast)</v>
      </c>
      <c r="J856" t="str">
        <f>"protein coding gene"</f>
        <v>protein coding gene</v>
      </c>
    </row>
    <row r="857" spans="1:10">
      <c r="A857">
        <v>10402795</v>
      </c>
      <c r="B857">
        <v>1.6410715697334</v>
      </c>
      <c r="C857">
        <v>0.14201469972604799</v>
      </c>
      <c r="E857" t="str">
        <f>"10402795"</f>
        <v>10402795</v>
      </c>
      <c r="F857" t="str">
        <f t="shared" si="57"/>
        <v>Affy 1.0 ST</v>
      </c>
      <c r="G857" t="str">
        <f>"MGI:1919213"</f>
        <v>MGI:1919213</v>
      </c>
      <c r="H857" t="str">
        <f>"Cdca4"</f>
        <v>Cdca4</v>
      </c>
      <c r="I857" t="str">
        <f>"cell division cycle associated 4"</f>
        <v>cell division cycle associated 4</v>
      </c>
      <c r="J857" t="str">
        <f>"protein coding gene"</f>
        <v>protein coding gene</v>
      </c>
    </row>
    <row r="858" spans="1:10">
      <c r="A858">
        <v>10379034</v>
      </c>
      <c r="B858">
        <v>1.64046643954247</v>
      </c>
      <c r="C858">
        <v>0.11308316985622099</v>
      </c>
      <c r="E858" t="str">
        <f>"10379034"</f>
        <v>10379034</v>
      </c>
      <c r="F858" t="str">
        <f t="shared" si="57"/>
        <v>Affy 1.0 ST</v>
      </c>
      <c r="G858" t="str">
        <f>"MGI:1915572"</f>
        <v>MGI:1915572</v>
      </c>
      <c r="H858" t="str">
        <f>"Tlcd1"</f>
        <v>Tlcd1</v>
      </c>
      <c r="I858" t="str">
        <f>"TLC domain containing 1"</f>
        <v>TLC domain containing 1</v>
      </c>
      <c r="J858" t="str">
        <f>"protein coding gene"</f>
        <v>protein coding gene</v>
      </c>
    </row>
    <row r="859" spans="1:10">
      <c r="A859">
        <v>10576873</v>
      </c>
      <c r="B859">
        <v>1.6323979014218699</v>
      </c>
      <c r="C859">
        <v>5.5627094048438998E-2</v>
      </c>
      <c r="E859" t="str">
        <f>"10576873"</f>
        <v>10576873</v>
      </c>
      <c r="F859" t="str">
        <f t="shared" si="57"/>
        <v>Affy 1.0 ST</v>
      </c>
      <c r="G859" t="str">
        <f>"MGI:1100851"</f>
        <v>MGI:1100851</v>
      </c>
      <c r="H859" t="str">
        <f>"Elavl1"</f>
        <v>Elavl1</v>
      </c>
      <c r="I859" t="s">
        <v>1773</v>
      </c>
      <c r="J859" t="s">
        <v>2010</v>
      </c>
    </row>
    <row r="860" spans="1:10">
      <c r="A860">
        <v>10444761</v>
      </c>
      <c r="B860">
        <v>1.6304253543790399</v>
      </c>
      <c r="C860">
        <v>0.111042223785377</v>
      </c>
      <c r="E860" t="str">
        <f>"10444761"</f>
        <v>10444761</v>
      </c>
      <c r="F860" t="str">
        <f t="shared" si="57"/>
        <v>Affy 1.0 ST</v>
      </c>
      <c r="G860" t="str">
        <f>"MGI:99240"</f>
        <v>MGI:99240</v>
      </c>
      <c r="H860" t="str">
        <f>"Bat1a"</f>
        <v>Bat1a</v>
      </c>
      <c r="I860" t="str">
        <f>"HLA-B-associated transcript 1A"</f>
        <v>HLA-B-associated transcript 1A</v>
      </c>
      <c r="J860" t="str">
        <f>"protein coding gene"</f>
        <v>protein coding gene</v>
      </c>
    </row>
    <row r="861" spans="1:10">
      <c r="A861">
        <v>10511298</v>
      </c>
      <c r="B861">
        <v>1.6297067137253201</v>
      </c>
      <c r="C861">
        <v>0.113417895857714</v>
      </c>
      <c r="E861" t="str">
        <f>"10511298"</f>
        <v>10511298</v>
      </c>
      <c r="F861" t="str">
        <f t="shared" si="57"/>
        <v>Affy 1.0 ST</v>
      </c>
      <c r="G861" t="str">
        <f>"MGI:2444364"</f>
        <v>MGI:2444364</v>
      </c>
      <c r="H861" t="str">
        <f>"9430015G10Rik"</f>
        <v>9430015G10Rik</v>
      </c>
      <c r="I861" t="str">
        <f>"RIKEN cDNA 9430015G10 gene"</f>
        <v>RIKEN cDNA 9430015G10 gene</v>
      </c>
      <c r="J861" t="str">
        <f>"protein coding gene"</f>
        <v>protein coding gene</v>
      </c>
    </row>
    <row r="862" spans="1:10">
      <c r="A862">
        <v>10351277</v>
      </c>
      <c r="B862">
        <v>1.62848174182384</v>
      </c>
      <c r="C862">
        <v>2.2745602029660101E-2</v>
      </c>
      <c r="E862" t="str">
        <f>"10351277"</f>
        <v>10351277</v>
      </c>
      <c r="F862" t="str">
        <f t="shared" si="57"/>
        <v>Affy 1.0 ST</v>
      </c>
      <c r="G862" t="str">
        <f>"MGI:2449121"</f>
        <v>MGI:2449121</v>
      </c>
      <c r="H862" t="str">
        <f>"Nme7"</f>
        <v>Nme7</v>
      </c>
      <c r="I862" t="s">
        <v>1899</v>
      </c>
      <c r="J862" t="s">
        <v>2010</v>
      </c>
    </row>
    <row r="863" spans="1:10">
      <c r="A863">
        <v>10342314</v>
      </c>
      <c r="B863">
        <v>1.6275740520677</v>
      </c>
      <c r="C863">
        <v>2.8052299673703901E-2</v>
      </c>
      <c r="E863" t="str">
        <f>"10342314"</f>
        <v>10342314</v>
      </c>
      <c r="F863" t="str">
        <f>""</f>
        <v/>
      </c>
      <c r="G863" t="str">
        <f>"No associated gene"</f>
        <v>No associated gene</v>
      </c>
    </row>
    <row r="864" spans="1:10">
      <c r="A864">
        <v>10401335</v>
      </c>
      <c r="B864">
        <v>1.6275405671562</v>
      </c>
      <c r="C864">
        <v>6.4426108201256202E-2</v>
      </c>
      <c r="E864" t="str">
        <f>"10401335"</f>
        <v>10401335</v>
      </c>
      <c r="F864" t="str">
        <f>"Affy 1.0 ST"</f>
        <v>Affy 1.0 ST</v>
      </c>
      <c r="G864" t="str">
        <f>"MGI:1917042"</f>
        <v>MGI:1917042</v>
      </c>
      <c r="H864" t="str">
        <f>"Med6"</f>
        <v>Med6</v>
      </c>
      <c r="I864" t="s">
        <v>1900</v>
      </c>
      <c r="J864" t="s">
        <v>2010</v>
      </c>
    </row>
    <row r="865" spans="1:10">
      <c r="A865">
        <v>10594315</v>
      </c>
      <c r="B865">
        <v>1.6231834467864501</v>
      </c>
      <c r="C865">
        <v>0.10868704071660901</v>
      </c>
      <c r="E865" t="str">
        <f>"10594315"</f>
        <v>10594315</v>
      </c>
      <c r="F865" t="str">
        <f>"Affy 1.0 ST"</f>
        <v>Affy 1.0 ST</v>
      </c>
      <c r="G865" t="str">
        <f>"MGI:1335087"</f>
        <v>MGI:1335087</v>
      </c>
      <c r="H865" t="str">
        <f>"Fem1b"</f>
        <v>Fem1b</v>
      </c>
      <c r="I865" t="str">
        <f>"feminization 1 homolog b (C. elegans)"</f>
        <v>feminization 1 homolog b (C. elegans)</v>
      </c>
      <c r="J865" t="str">
        <f>"protein coding gene"</f>
        <v>protein coding gene</v>
      </c>
    </row>
    <row r="866" spans="1:10">
      <c r="A866">
        <v>10475280</v>
      </c>
      <c r="B866">
        <v>1.61831309427577</v>
      </c>
      <c r="C866">
        <v>6.8209429263917001E-2</v>
      </c>
      <c r="E866" t="str">
        <f>"10475280"</f>
        <v>10475280</v>
      </c>
      <c r="F866" t="str">
        <f>"Affy 1.0 ST"</f>
        <v>Affy 1.0 ST</v>
      </c>
      <c r="G866" t="str">
        <f>"MGI:1923144"</f>
        <v>MGI:1923144</v>
      </c>
      <c r="H866" t="str">
        <f>"Adal"</f>
        <v>Adal</v>
      </c>
      <c r="I866" t="str">
        <f>"adenosine deaminase-like"</f>
        <v>adenosine deaminase-like</v>
      </c>
      <c r="J866" t="str">
        <f>"protein coding gene"</f>
        <v>protein coding gene</v>
      </c>
    </row>
    <row r="867" spans="1:10">
      <c r="A867">
        <v>10505282</v>
      </c>
      <c r="B867">
        <v>1.61404385639327</v>
      </c>
      <c r="C867">
        <v>5.0545500154260702E-2</v>
      </c>
      <c r="E867" t="str">
        <f>"10505282"</f>
        <v>10505282</v>
      </c>
      <c r="F867" t="str">
        <f>"Affy 1.0 ST"</f>
        <v>Affy 1.0 ST</v>
      </c>
      <c r="G867" t="str">
        <f>"MGI:1917302"</f>
        <v>MGI:1917302</v>
      </c>
      <c r="H867" t="str">
        <f>"Prpf4"</f>
        <v>Prpf4</v>
      </c>
      <c r="I867" t="str">
        <f>"PRP4 pre-mRNA processing factor 4 homolog (yeast)"</f>
        <v>PRP4 pre-mRNA processing factor 4 homolog (yeast)</v>
      </c>
      <c r="J867" t="str">
        <f>"protein coding gene"</f>
        <v>protein coding gene</v>
      </c>
    </row>
    <row r="868" spans="1:10">
      <c r="A868">
        <v>10440550</v>
      </c>
      <c r="B868">
        <v>1.60326918921547</v>
      </c>
      <c r="C868">
        <v>5.8128307035366998E-2</v>
      </c>
      <c r="E868" t="str">
        <f>"10440550"</f>
        <v>10440550</v>
      </c>
      <c r="F868" t="str">
        <f>"Affy 1.0 ST"</f>
        <v>Affy 1.0 ST</v>
      </c>
      <c r="G868" t="str">
        <f>"MGI:1926163"</f>
        <v>MGI:1926163</v>
      </c>
      <c r="H868" t="str">
        <f>"Ltn1"</f>
        <v>Ltn1</v>
      </c>
      <c r="I868" t="str">
        <f>"listerin E3 ubiquitin protein ligase 1"</f>
        <v>listerin E3 ubiquitin protein ligase 1</v>
      </c>
      <c r="J868" t="str">
        <f>"protein coding gene"</f>
        <v>protein coding gene</v>
      </c>
    </row>
    <row r="869" spans="1:10">
      <c r="A869">
        <v>10344422</v>
      </c>
      <c r="B869">
        <v>1.60308429245882</v>
      </c>
      <c r="C869">
        <v>0.10545128784769001</v>
      </c>
      <c r="E869" t="str">
        <f>"10344422"</f>
        <v>10344422</v>
      </c>
      <c r="F869" t="str">
        <f>""</f>
        <v/>
      </c>
      <c r="G869" t="str">
        <f>"No associated gene"</f>
        <v>No associated gene</v>
      </c>
    </row>
    <row r="870" spans="1:10">
      <c r="A870">
        <v>10429081</v>
      </c>
      <c r="B870">
        <v>1.60208951817098</v>
      </c>
      <c r="C870">
        <v>4.4545615139412298E-2</v>
      </c>
      <c r="E870" t="str">
        <f>"10429081"</f>
        <v>10429081</v>
      </c>
      <c r="F870" t="str">
        <f>"Affy 1.0 ST"</f>
        <v>Affy 1.0 ST</v>
      </c>
      <c r="G870" t="str">
        <f>"MGI:109489"</f>
        <v>MGI:109489</v>
      </c>
      <c r="H870" t="str">
        <f>"Snrpc"</f>
        <v>Snrpc</v>
      </c>
      <c r="I870" t="str">
        <f>"U1 small nuclear ribonucleoprotein C"</f>
        <v>U1 small nuclear ribonucleoprotein C</v>
      </c>
      <c r="J870" t="str">
        <f>"protein coding gene"</f>
        <v>protein coding gene</v>
      </c>
    </row>
    <row r="871" spans="1:10">
      <c r="A871">
        <v>10343294</v>
      </c>
      <c r="B871">
        <v>1.6002914327972599</v>
      </c>
      <c r="C871">
        <v>9.2513108333134003E-2</v>
      </c>
      <c r="E871" t="str">
        <f>"10343294"</f>
        <v>10343294</v>
      </c>
      <c r="F871" t="str">
        <f>""</f>
        <v/>
      </c>
      <c r="G871" t="str">
        <f>"No associated gene"</f>
        <v>No associated gene</v>
      </c>
    </row>
    <row r="872" spans="1:10">
      <c r="A872">
        <v>10543650</v>
      </c>
      <c r="B872">
        <v>1.5996921125799199</v>
      </c>
      <c r="C872">
        <v>6.6860850362508703E-2</v>
      </c>
      <c r="E872" t="str">
        <f>"10543650"</f>
        <v>10543650</v>
      </c>
      <c r="F872" t="str">
        <f>"Affy 1.0 ST"</f>
        <v>Affy 1.0 ST</v>
      </c>
      <c r="G872" t="str">
        <f>"MGI:1196412"</f>
        <v>MGI:1196412</v>
      </c>
      <c r="H872" t="str">
        <f>"Tnpo3"</f>
        <v>Tnpo3</v>
      </c>
      <c r="I872" t="str">
        <f>"transportin 3"</f>
        <v>transportin 3</v>
      </c>
      <c r="J872" t="str">
        <f>"protein coding gene"</f>
        <v>protein coding gene</v>
      </c>
    </row>
    <row r="873" spans="1:10">
      <c r="A873">
        <v>10344519</v>
      </c>
      <c r="B873">
        <v>1.5974408097058099</v>
      </c>
      <c r="C873">
        <v>8.6652430491928001E-2</v>
      </c>
      <c r="E873" t="str">
        <f>"10344519"</f>
        <v>10344519</v>
      </c>
      <c r="F873" t="str">
        <f>""</f>
        <v/>
      </c>
      <c r="G873" t="str">
        <f>"No associated gene"</f>
        <v>No associated gene</v>
      </c>
    </row>
    <row r="874" spans="1:10">
      <c r="A874">
        <v>10583254</v>
      </c>
      <c r="B874">
        <v>1.59649654435424</v>
      </c>
      <c r="C874">
        <v>3.8732344103231203E-2</v>
      </c>
      <c r="E874" t="str">
        <f>"10583254"</f>
        <v>10583254</v>
      </c>
      <c r="F874" t="str">
        <f t="shared" ref="F874:F879" si="58">"Affy 1.0 ST"</f>
        <v>Affy 1.0 ST</v>
      </c>
      <c r="G874" t="str">
        <f>"MGI:1913320"</f>
        <v>MGI:1913320</v>
      </c>
      <c r="H874" t="str">
        <f>"Cwc15"</f>
        <v>Cwc15</v>
      </c>
      <c r="I874" t="str">
        <f>"CWC15 homolog (S. cerevisiae)"</f>
        <v>CWC15 homolog (S. cerevisiae)</v>
      </c>
      <c r="J874" t="str">
        <f>"protein coding gene"</f>
        <v>protein coding gene</v>
      </c>
    </row>
    <row r="875" spans="1:10">
      <c r="A875">
        <v>10570837</v>
      </c>
      <c r="B875">
        <v>1.5945158322398301</v>
      </c>
      <c r="C875">
        <v>8.4179122480684501E-2</v>
      </c>
      <c r="E875" t="str">
        <f>"10570837"</f>
        <v>10570837</v>
      </c>
      <c r="F875" t="str">
        <f t="shared" si="58"/>
        <v>Affy 1.0 ST</v>
      </c>
      <c r="G875" t="str">
        <f>"MGI:97851"</f>
        <v>MGI:97851</v>
      </c>
      <c r="H875" t="str">
        <f>"Slc20a2"</f>
        <v>Slc20a2</v>
      </c>
      <c r="I875" t="s">
        <v>1901</v>
      </c>
      <c r="J875" t="s">
        <v>2010</v>
      </c>
    </row>
    <row r="876" spans="1:10">
      <c r="A876">
        <v>10393047</v>
      </c>
      <c r="B876">
        <v>1.57767876822493</v>
      </c>
      <c r="C876">
        <v>6.4305733047400004E-2</v>
      </c>
      <c r="E876" t="str">
        <f>"10393047"</f>
        <v>10393047</v>
      </c>
      <c r="F876" t="str">
        <f t="shared" si="58"/>
        <v>Affy 1.0 ST</v>
      </c>
      <c r="G876" t="str">
        <f>"MGI:95730"</f>
        <v>MGI:95730</v>
      </c>
      <c r="H876" t="str">
        <f>"Galk1"</f>
        <v>Galk1</v>
      </c>
      <c r="I876" t="str">
        <f>"galactokinase 1"</f>
        <v>galactokinase 1</v>
      </c>
      <c r="J876" t="str">
        <f>"protein coding gene"</f>
        <v>protein coding gene</v>
      </c>
    </row>
    <row r="877" spans="1:10">
      <c r="A877">
        <v>10396896</v>
      </c>
      <c r="B877">
        <v>1.5700504653242899</v>
      </c>
      <c r="C877">
        <v>2.78010333250556E-2</v>
      </c>
      <c r="E877" t="str">
        <f>"10396896"</f>
        <v>10396896</v>
      </c>
      <c r="F877" t="str">
        <f t="shared" si="58"/>
        <v>Affy 1.0 ST</v>
      </c>
      <c r="G877" t="str">
        <f>"MGI:1914820"</f>
        <v>MGI:1914820</v>
      </c>
      <c r="H877" t="str">
        <f>"Slc39a9"</f>
        <v>Slc39a9</v>
      </c>
      <c r="I877" t="s">
        <v>1902</v>
      </c>
      <c r="J877" t="s">
        <v>2010</v>
      </c>
    </row>
    <row r="878" spans="1:10">
      <c r="A878">
        <v>10524314</v>
      </c>
      <c r="B878">
        <v>1.5426562019604699</v>
      </c>
      <c r="C878">
        <v>2.5455555784144501E-2</v>
      </c>
      <c r="E878" t="str">
        <f>"10524314"</f>
        <v>10524314</v>
      </c>
      <c r="F878" t="str">
        <f t="shared" si="58"/>
        <v>Affy 1.0 ST</v>
      </c>
      <c r="G878" t="str">
        <f>"MGI:1927542"</f>
        <v>MGI:1927542</v>
      </c>
      <c r="H878" t="str">
        <f>"Pitpnb"</f>
        <v>Pitpnb</v>
      </c>
      <c r="I878" t="s">
        <v>1903</v>
      </c>
      <c r="J878" t="s">
        <v>2010</v>
      </c>
    </row>
    <row r="879" spans="1:10">
      <c r="A879">
        <v>10491363</v>
      </c>
      <c r="B879">
        <v>1.54233646016841</v>
      </c>
      <c r="C879">
        <v>9.7144854975090202E-3</v>
      </c>
      <c r="E879" t="str">
        <f>"10491363"</f>
        <v>10491363</v>
      </c>
      <c r="F879" t="str">
        <f t="shared" si="58"/>
        <v>Affy 1.0 ST</v>
      </c>
      <c r="G879" t="str">
        <f>"MGI:1914664"</f>
        <v>MGI:1914664</v>
      </c>
      <c r="H879" t="str">
        <f>"Mfn1"</f>
        <v>Mfn1</v>
      </c>
      <c r="I879" t="str">
        <f>"mitofusin 1"</f>
        <v>mitofusin 1</v>
      </c>
      <c r="J879" t="str">
        <f>"protein coding gene"</f>
        <v>protein coding gene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J698"/>
  <sheetViews>
    <sheetView tabSelected="1" workbookViewId="0">
      <selection activeCell="A5" sqref="A5:I698"/>
    </sheetView>
  </sheetViews>
  <sheetFormatPr baseColWidth="10" defaultRowHeight="13"/>
  <cols>
    <col min="4" max="4" width="19.42578125" customWidth="1"/>
    <col min="6" max="6" width="42" customWidth="1"/>
    <col min="9" max="9" width="18.140625" customWidth="1"/>
  </cols>
  <sheetData>
    <row r="2" spans="1:10">
      <c r="A2" s="1" t="s">
        <v>2</v>
      </c>
    </row>
    <row r="3" spans="1:10" s="3" customFormat="1">
      <c r="A3" s="1"/>
    </row>
    <row r="4" spans="1:10">
      <c r="I4" s="8" t="s">
        <v>1</v>
      </c>
      <c r="J4" s="8" t="s">
        <v>0</v>
      </c>
    </row>
    <row r="5" spans="1:10">
      <c r="A5" s="7" t="s">
        <v>2177</v>
      </c>
      <c r="B5" t="s">
        <v>2249</v>
      </c>
      <c r="C5" t="s">
        <v>2250</v>
      </c>
      <c r="D5" t="s">
        <v>1788</v>
      </c>
      <c r="E5" t="s">
        <v>1789</v>
      </c>
      <c r="F5" t="s">
        <v>1790</v>
      </c>
      <c r="G5" t="s">
        <v>1791</v>
      </c>
      <c r="J5">
        <f>COUNTIF(I6:I555,"&gt;0")</f>
        <v>106</v>
      </c>
    </row>
    <row r="6" spans="1:10">
      <c r="A6">
        <v>10358399</v>
      </c>
      <c r="B6" s="9">
        <v>102.52371485492</v>
      </c>
      <c r="C6" s="9">
        <v>6.2958617308701399</v>
      </c>
      <c r="D6" t="s">
        <v>1792</v>
      </c>
      <c r="E6" t="s">
        <v>1793</v>
      </c>
      <c r="F6" t="s">
        <v>1794</v>
      </c>
      <c r="G6" t="s">
        <v>2010</v>
      </c>
      <c r="I6">
        <f>MATCH(A6,'GC-B cell original comparision'!$E$6:$E$237,0)</f>
        <v>3</v>
      </c>
    </row>
    <row r="7" spans="1:10">
      <c r="A7">
        <v>10531126</v>
      </c>
      <c r="B7" s="9">
        <v>86.155173004331502</v>
      </c>
      <c r="C7" s="9">
        <v>22.8934246606809</v>
      </c>
      <c r="D7" t="s">
        <v>1795</v>
      </c>
      <c r="E7" t="s">
        <v>1796</v>
      </c>
      <c r="F7" t="s">
        <v>1797</v>
      </c>
      <c r="G7" t="s">
        <v>2010</v>
      </c>
      <c r="I7" s="8">
        <f>MATCH(A7,'GC-B cell original comparision'!$E$6:$E$237,0)</f>
        <v>2</v>
      </c>
    </row>
    <row r="8" spans="1:10">
      <c r="A8">
        <v>10541507</v>
      </c>
      <c r="B8" s="9">
        <v>74.321871608125605</v>
      </c>
      <c r="C8" s="9">
        <v>13.1996604282135</v>
      </c>
      <c r="D8" t="s">
        <v>1798</v>
      </c>
      <c r="E8" t="s">
        <v>1799</v>
      </c>
      <c r="F8" t="s">
        <v>1800</v>
      </c>
      <c r="G8" t="s">
        <v>2010</v>
      </c>
      <c r="I8" s="8">
        <f>MATCH(A8,'GC-B cell original comparision'!$E$6:$E$237,0)</f>
        <v>4</v>
      </c>
    </row>
    <row r="9" spans="1:10">
      <c r="A9">
        <v>10353010</v>
      </c>
      <c r="B9" s="9">
        <v>62.240913560157502</v>
      </c>
      <c r="C9" s="9">
        <v>50.936628176844998</v>
      </c>
      <c r="D9" t="s">
        <v>1801</v>
      </c>
      <c r="E9" t="s">
        <v>1802</v>
      </c>
      <c r="F9" t="s">
        <v>1912</v>
      </c>
      <c r="G9" t="s">
        <v>2010</v>
      </c>
      <c r="I9" s="8">
        <f>MATCH(A9,'GC-B cell original comparision'!$E$6:$E$237,0)</f>
        <v>1</v>
      </c>
    </row>
    <row r="10" spans="1:10">
      <c r="A10">
        <v>10403021</v>
      </c>
      <c r="B10" s="9">
        <v>53.529243673916604</v>
      </c>
      <c r="C10" s="9">
        <v>46.374440561989601</v>
      </c>
      <c r="D10" t="s">
        <v>1913</v>
      </c>
      <c r="E10" t="s">
        <v>1914</v>
      </c>
      <c r="F10" t="s">
        <v>1915</v>
      </c>
      <c r="G10" t="s">
        <v>1916</v>
      </c>
      <c r="I10" s="8" t="e">
        <f>MATCH(A10,'GC-B cell original comparision'!$E$6:$E$237,0)</f>
        <v>#N/A</v>
      </c>
    </row>
    <row r="11" spans="1:10">
      <c r="A11">
        <v>10416006</v>
      </c>
      <c r="B11" s="9">
        <v>51.782665620592503</v>
      </c>
      <c r="C11" s="9">
        <v>5.4499633183426708</v>
      </c>
      <c r="D11" t="s">
        <v>1917</v>
      </c>
      <c r="E11" t="s">
        <v>1918</v>
      </c>
      <c r="F11" t="s">
        <v>1811</v>
      </c>
      <c r="G11" t="s">
        <v>2010</v>
      </c>
      <c r="I11" s="8">
        <f>MATCH(A11,'GC-B cell original comparision'!$E$6:$E$237,0)</f>
        <v>5</v>
      </c>
    </row>
    <row r="12" spans="1:10">
      <c r="A12">
        <v>10446965</v>
      </c>
      <c r="B12" s="9">
        <v>48.582820216154801</v>
      </c>
      <c r="C12" s="9">
        <v>43.579435112168802</v>
      </c>
      <c r="D12" t="s">
        <v>1812</v>
      </c>
      <c r="E12" t="s">
        <v>1813</v>
      </c>
      <c r="F12" t="s">
        <v>1814</v>
      </c>
      <c r="G12" t="s">
        <v>2010</v>
      </c>
      <c r="I12" s="8" t="e">
        <f>MATCH(A12,'GC-B cell original comparision'!$E$6:$E$237,0)</f>
        <v>#N/A</v>
      </c>
    </row>
    <row r="13" spans="1:10">
      <c r="A13">
        <v>10436024</v>
      </c>
      <c r="B13" s="9">
        <v>47.290473032082403</v>
      </c>
      <c r="C13" s="9">
        <v>1.9636138842281201</v>
      </c>
      <c r="D13" t="s">
        <v>1815</v>
      </c>
      <c r="E13" t="s">
        <v>1816</v>
      </c>
      <c r="F13" t="s">
        <v>1817</v>
      </c>
      <c r="G13" t="s">
        <v>2010</v>
      </c>
      <c r="I13" s="8" t="e">
        <f>MATCH(A13,'GC-B cell original comparision'!$E$6:$E$237,0)</f>
        <v>#N/A</v>
      </c>
    </row>
    <row r="14" spans="1:10">
      <c r="A14">
        <v>10531261</v>
      </c>
      <c r="B14" s="9">
        <v>44.149586269978101</v>
      </c>
      <c r="C14" s="9">
        <v>1.4677557795168299</v>
      </c>
      <c r="D14" t="s">
        <v>1818</v>
      </c>
      <c r="E14" t="s">
        <v>1819</v>
      </c>
      <c r="F14" t="s">
        <v>1923</v>
      </c>
      <c r="G14" t="s">
        <v>2010</v>
      </c>
      <c r="I14" s="8">
        <f>MATCH(A14,'GC-B cell original comparision'!$E$6:$E$237,0)</f>
        <v>6</v>
      </c>
    </row>
    <row r="15" spans="1:10">
      <c r="A15">
        <v>10545190</v>
      </c>
      <c r="B15" s="9">
        <v>30.046838140442699</v>
      </c>
      <c r="C15" s="9">
        <v>25.077212140338499</v>
      </c>
      <c r="D15" s="10" t="s">
        <v>2179</v>
      </c>
      <c r="E15" s="10"/>
      <c r="F15" s="7"/>
      <c r="G15" s="7" t="s">
        <v>2178</v>
      </c>
      <c r="I15" s="8" t="e">
        <f>MATCH(A15,'GC-B cell original comparision'!$E$6:$E$237,0)</f>
        <v>#N/A</v>
      </c>
    </row>
    <row r="16" spans="1:10">
      <c r="A16">
        <v>10585276</v>
      </c>
      <c r="B16">
        <v>27.587550591056601</v>
      </c>
      <c r="C16">
        <v>25.479322111205601</v>
      </c>
      <c r="D16" t="s">
        <v>1924</v>
      </c>
      <c r="E16" t="s">
        <v>1925</v>
      </c>
      <c r="F16" t="s">
        <v>1926</v>
      </c>
      <c r="G16" t="s">
        <v>2010</v>
      </c>
      <c r="I16" s="8" t="e">
        <f>MATCH(A16,'GC-B cell original comparision'!$E$6:$E$237,0)</f>
        <v>#N/A</v>
      </c>
    </row>
    <row r="17" spans="1:9">
      <c r="A17">
        <v>10438738</v>
      </c>
      <c r="B17">
        <v>21.5378867373445</v>
      </c>
      <c r="C17">
        <v>16.117325782971498</v>
      </c>
      <c r="D17" t="s">
        <v>1927</v>
      </c>
      <c r="E17" t="s">
        <v>1831</v>
      </c>
      <c r="F17" t="s">
        <v>1832</v>
      </c>
      <c r="G17" t="s">
        <v>2010</v>
      </c>
      <c r="I17" s="8" t="e">
        <f>MATCH(A17,'GC-B cell original comparision'!$E$6:$E$237,0)</f>
        <v>#N/A</v>
      </c>
    </row>
    <row r="18" spans="1:9">
      <c r="A18">
        <v>10531737</v>
      </c>
      <c r="B18">
        <v>19.350985243703299</v>
      </c>
      <c r="C18">
        <v>13.3818513529092</v>
      </c>
      <c r="D18" t="s">
        <v>1833</v>
      </c>
      <c r="E18" t="s">
        <v>1834</v>
      </c>
      <c r="F18" t="s">
        <v>1835</v>
      </c>
      <c r="G18" t="s">
        <v>2010</v>
      </c>
      <c r="I18" s="8" t="e">
        <f>MATCH(A18,'GC-B cell original comparision'!$E$6:$E$237,0)</f>
        <v>#N/A</v>
      </c>
    </row>
    <row r="19" spans="1:9">
      <c r="A19">
        <v>10487011</v>
      </c>
      <c r="B19">
        <v>19.284024097337198</v>
      </c>
      <c r="C19">
        <v>2.4049415362478199</v>
      </c>
      <c r="D19" t="s">
        <v>1836</v>
      </c>
      <c r="E19" t="s">
        <v>1837</v>
      </c>
      <c r="F19" t="s">
        <v>1838</v>
      </c>
      <c r="G19" t="s">
        <v>2010</v>
      </c>
      <c r="I19" s="8" t="e">
        <f>MATCH(A19,'GC-B cell original comparision'!$E$6:$E$237,0)</f>
        <v>#N/A</v>
      </c>
    </row>
    <row r="20" spans="1:9">
      <c r="A20">
        <v>10593887</v>
      </c>
      <c r="B20">
        <v>17.7942125481453</v>
      </c>
      <c r="C20">
        <v>1.4256824723733501</v>
      </c>
      <c r="D20" t="s">
        <v>1676</v>
      </c>
      <c r="E20" t="s">
        <v>1677</v>
      </c>
      <c r="F20" t="s">
        <v>1678</v>
      </c>
      <c r="G20" t="s">
        <v>2010</v>
      </c>
      <c r="I20" s="8">
        <f>MATCH(A20,'GC-B cell original comparision'!$E$6:$E$237,0)</f>
        <v>14</v>
      </c>
    </row>
    <row r="21" spans="1:9">
      <c r="A21">
        <v>10576757</v>
      </c>
      <c r="B21">
        <v>16.621709565182901</v>
      </c>
      <c r="C21">
        <v>13.446107244620601</v>
      </c>
      <c r="D21" t="s">
        <v>1679</v>
      </c>
      <c r="E21" t="s">
        <v>1680</v>
      </c>
      <c r="F21" t="s">
        <v>1681</v>
      </c>
      <c r="G21" t="s">
        <v>2010</v>
      </c>
      <c r="I21" s="8" t="e">
        <f>MATCH(A21,'GC-B cell original comparision'!$E$6:$E$237,0)</f>
        <v>#N/A</v>
      </c>
    </row>
    <row r="22" spans="1:9">
      <c r="A22">
        <v>10541260</v>
      </c>
      <c r="B22">
        <v>16.0538099564431</v>
      </c>
      <c r="C22">
        <v>7.0943328964453301</v>
      </c>
      <c r="D22" t="s">
        <v>1682</v>
      </c>
      <c r="E22" t="s">
        <v>1683</v>
      </c>
      <c r="F22" t="s">
        <v>1684</v>
      </c>
      <c r="G22" t="s">
        <v>2010</v>
      </c>
      <c r="I22" s="8" t="e">
        <f>MATCH(A22,'GC-B cell original comparision'!$E$6:$E$237,0)</f>
        <v>#N/A</v>
      </c>
    </row>
    <row r="23" spans="1:9">
      <c r="A23">
        <v>10431424</v>
      </c>
      <c r="B23">
        <v>15.9896496913859</v>
      </c>
      <c r="C23">
        <v>3.2829303391859401</v>
      </c>
      <c r="D23" t="s">
        <v>1685</v>
      </c>
      <c r="E23" t="s">
        <v>1686</v>
      </c>
      <c r="F23" t="s">
        <v>1687</v>
      </c>
      <c r="G23" t="s">
        <v>2010</v>
      </c>
      <c r="I23" s="8" t="e">
        <f>MATCH(A23,'GC-B cell original comparision'!$E$6:$E$237,0)</f>
        <v>#N/A</v>
      </c>
    </row>
    <row r="24" spans="1:9">
      <c r="A24">
        <v>10434758</v>
      </c>
      <c r="B24">
        <v>15.8589480924265</v>
      </c>
      <c r="C24">
        <v>11.652554318264499</v>
      </c>
      <c r="D24" t="s">
        <v>1688</v>
      </c>
      <c r="E24" t="s">
        <v>1689</v>
      </c>
      <c r="F24" t="s">
        <v>1690</v>
      </c>
      <c r="G24" t="s">
        <v>2010</v>
      </c>
      <c r="I24" s="8" t="e">
        <f>MATCH(A24,'GC-B cell original comparision'!$E$6:$E$237,0)</f>
        <v>#N/A</v>
      </c>
    </row>
    <row r="25" spans="1:9">
      <c r="A25">
        <v>10439346</v>
      </c>
      <c r="B25">
        <v>15.101152810058201</v>
      </c>
      <c r="C25">
        <v>3.8201318623703999</v>
      </c>
      <c r="D25" t="s">
        <v>1846</v>
      </c>
      <c r="E25" t="s">
        <v>1847</v>
      </c>
      <c r="F25" t="s">
        <v>1848</v>
      </c>
      <c r="G25" t="s">
        <v>2010</v>
      </c>
      <c r="I25" s="8">
        <f>MATCH(A25,'GC-B cell original comparision'!$E$6:$E$237,0)</f>
        <v>17</v>
      </c>
    </row>
    <row r="26" spans="1:9">
      <c r="A26">
        <v>10503709</v>
      </c>
      <c r="B26">
        <v>15.083666710790199</v>
      </c>
      <c r="C26">
        <v>9.5340082318715176</v>
      </c>
      <c r="D26" t="s">
        <v>1849</v>
      </c>
      <c r="E26" t="s">
        <v>1850</v>
      </c>
      <c r="F26" t="s">
        <v>1851</v>
      </c>
      <c r="G26" t="s">
        <v>2060</v>
      </c>
      <c r="I26" s="8" t="e">
        <f>MATCH(A26,'GC-B cell original comparision'!$E$6:$E$237,0)</f>
        <v>#N/A</v>
      </c>
    </row>
    <row r="27" spans="1:9">
      <c r="A27">
        <v>10473809</v>
      </c>
      <c r="B27">
        <v>14.933629322601201</v>
      </c>
      <c r="C27">
        <v>13.137178845352</v>
      </c>
      <c r="D27" t="s">
        <v>1852</v>
      </c>
      <c r="E27" t="s">
        <v>1853</v>
      </c>
      <c r="F27" t="s">
        <v>1854</v>
      </c>
      <c r="G27" t="s">
        <v>2010</v>
      </c>
      <c r="I27" s="8" t="e">
        <f>MATCH(A27,'GC-B cell original comparision'!$E$6:$E$237,0)</f>
        <v>#N/A</v>
      </c>
    </row>
    <row r="28" spans="1:9">
      <c r="A28">
        <v>10554938</v>
      </c>
      <c r="B28">
        <v>14.5910392249025</v>
      </c>
      <c r="C28">
        <v>11.294450126125099</v>
      </c>
      <c r="D28" t="s">
        <v>1855</v>
      </c>
      <c r="E28" t="s">
        <v>1856</v>
      </c>
      <c r="F28" t="s">
        <v>1857</v>
      </c>
      <c r="G28" t="s">
        <v>2010</v>
      </c>
      <c r="I28" s="8" t="e">
        <f>MATCH(A28,'GC-B cell original comparision'!$E$6:$E$237,0)</f>
        <v>#N/A</v>
      </c>
    </row>
    <row r="29" spans="1:9">
      <c r="A29">
        <v>10549506</v>
      </c>
      <c r="B29">
        <v>13.4057657240179</v>
      </c>
      <c r="C29">
        <v>9.9998595357968014</v>
      </c>
      <c r="D29" t="s">
        <v>1858</v>
      </c>
      <c r="E29" t="s">
        <v>1859</v>
      </c>
      <c r="F29" t="s">
        <v>1860</v>
      </c>
      <c r="G29" t="s">
        <v>2010</v>
      </c>
      <c r="I29" s="8" t="e">
        <f>MATCH(A29,'GC-B cell original comparision'!$E$6:$E$237,0)</f>
        <v>#N/A</v>
      </c>
    </row>
    <row r="30" spans="1:9">
      <c r="A30">
        <v>10503695</v>
      </c>
      <c r="B30">
        <v>12.892564982723499</v>
      </c>
      <c r="C30">
        <v>5.6390665409051</v>
      </c>
      <c r="D30" s="10" t="s">
        <v>2038</v>
      </c>
      <c r="E30" s="10"/>
      <c r="I30" s="8" t="e">
        <f>MATCH(A30,'GC-B cell original comparision'!$E$6:$E$237,0)</f>
        <v>#N/A</v>
      </c>
    </row>
    <row r="31" spans="1:9">
      <c r="A31">
        <v>10375463</v>
      </c>
      <c r="B31">
        <v>12.436303731364299</v>
      </c>
      <c r="C31">
        <v>2.3479786147734298</v>
      </c>
      <c r="D31" t="s">
        <v>1706</v>
      </c>
      <c r="E31" t="s">
        <v>1707</v>
      </c>
      <c r="F31" t="s">
        <v>1708</v>
      </c>
      <c r="G31" t="s">
        <v>2010</v>
      </c>
      <c r="I31" s="8" t="e">
        <f>MATCH(A31,'GC-B cell original comparision'!$E$6:$E$237,0)</f>
        <v>#N/A</v>
      </c>
    </row>
    <row r="32" spans="1:9">
      <c r="A32">
        <v>10490903</v>
      </c>
      <c r="B32">
        <v>12.222297199632299</v>
      </c>
      <c r="C32">
        <v>1.3414625180862501</v>
      </c>
      <c r="D32" t="s">
        <v>1709</v>
      </c>
      <c r="E32" t="s">
        <v>1710</v>
      </c>
      <c r="F32" t="s">
        <v>1711</v>
      </c>
      <c r="G32" t="s">
        <v>2010</v>
      </c>
      <c r="I32" s="8" t="e">
        <f>MATCH(A32,'GC-B cell original comparision'!$E$6:$E$237,0)</f>
        <v>#N/A</v>
      </c>
    </row>
    <row r="33" spans="1:9">
      <c r="A33">
        <v>10539850</v>
      </c>
      <c r="B33">
        <v>12.1460739893877</v>
      </c>
      <c r="C33">
        <v>3.7039789232924298</v>
      </c>
      <c r="D33" t="s">
        <v>1712</v>
      </c>
      <c r="E33" t="s">
        <v>1713</v>
      </c>
      <c r="F33" t="s">
        <v>1714</v>
      </c>
      <c r="G33" t="s">
        <v>2010</v>
      </c>
      <c r="I33" s="8">
        <f>MATCH(A33,'GC-B cell original comparision'!$E$6:$E$237,0)</f>
        <v>11</v>
      </c>
    </row>
    <row r="34" spans="1:9">
      <c r="A34">
        <v>10371321</v>
      </c>
      <c r="B34">
        <v>11.883116510096899</v>
      </c>
      <c r="C34">
        <v>9.6428591956792999</v>
      </c>
      <c r="D34" t="s">
        <v>1715</v>
      </c>
      <c r="E34" t="s">
        <v>1716</v>
      </c>
      <c r="F34" t="s">
        <v>1717</v>
      </c>
      <c r="G34" t="s">
        <v>2010</v>
      </c>
      <c r="I34" s="8" t="e">
        <f>MATCH(A34,'GC-B cell original comparision'!$E$6:$E$237,0)</f>
        <v>#N/A</v>
      </c>
    </row>
    <row r="35" spans="1:9">
      <c r="A35">
        <v>10432636</v>
      </c>
      <c r="B35">
        <v>11.381197950752901</v>
      </c>
      <c r="C35">
        <v>4.4679864916496799</v>
      </c>
      <c r="D35" t="s">
        <v>1718</v>
      </c>
      <c r="E35" t="s">
        <v>1719</v>
      </c>
      <c r="F35" t="s">
        <v>1720</v>
      </c>
      <c r="G35" t="s">
        <v>2010</v>
      </c>
      <c r="I35" s="8" t="e">
        <f>MATCH(A35,'GC-B cell original comparision'!$E$6:$E$237,0)</f>
        <v>#N/A</v>
      </c>
    </row>
    <row r="36" spans="1:9">
      <c r="A36">
        <v>10387985</v>
      </c>
      <c r="B36">
        <v>10.592913306037699</v>
      </c>
      <c r="C36">
        <v>7.3885494098134599</v>
      </c>
      <c r="D36" t="s">
        <v>1721</v>
      </c>
      <c r="E36" t="s">
        <v>1722</v>
      </c>
      <c r="F36" t="s">
        <v>1723</v>
      </c>
      <c r="G36" t="s">
        <v>2010</v>
      </c>
      <c r="I36" s="8" t="e">
        <f>MATCH(A36,'GC-B cell original comparision'!$E$6:$E$237,0)</f>
        <v>#N/A</v>
      </c>
    </row>
    <row r="37" spans="1:9">
      <c r="A37">
        <v>10462603</v>
      </c>
      <c r="B37">
        <v>10.558202815720801</v>
      </c>
      <c r="C37">
        <v>3.2957237841128499</v>
      </c>
      <c r="D37" t="s">
        <v>1724</v>
      </c>
      <c r="E37" t="s">
        <v>1725</v>
      </c>
      <c r="F37" t="s">
        <v>1726</v>
      </c>
      <c r="G37" t="s">
        <v>2010</v>
      </c>
      <c r="I37" s="8" t="e">
        <f>MATCH(A37,'GC-B cell original comparision'!$E$6:$E$237,0)</f>
        <v>#N/A</v>
      </c>
    </row>
    <row r="38" spans="1:9">
      <c r="A38">
        <v>10489391</v>
      </c>
      <c r="B38">
        <v>9.9577346185231104</v>
      </c>
      <c r="C38">
        <v>1.5410021934137501</v>
      </c>
      <c r="D38" t="s">
        <v>1868</v>
      </c>
      <c r="E38" t="s">
        <v>1869</v>
      </c>
      <c r="F38" t="s">
        <v>1870</v>
      </c>
      <c r="G38" t="s">
        <v>2010</v>
      </c>
      <c r="I38" s="8">
        <f>MATCH(A38,'GC-B cell original comparision'!$E$6:$E$237,0)</f>
        <v>36</v>
      </c>
    </row>
    <row r="39" spans="1:9">
      <c r="A39">
        <v>10595371</v>
      </c>
      <c r="B39">
        <v>9.8789184898820608</v>
      </c>
      <c r="C39">
        <v>5.6046702865572904</v>
      </c>
      <c r="D39" t="s">
        <v>1871</v>
      </c>
      <c r="E39" t="s">
        <v>1872</v>
      </c>
      <c r="F39" t="s">
        <v>1873</v>
      </c>
      <c r="G39" t="s">
        <v>2010</v>
      </c>
      <c r="I39" s="8" t="e">
        <f>MATCH(A39,'GC-B cell original comparision'!$E$6:$E$237,0)</f>
        <v>#N/A</v>
      </c>
    </row>
    <row r="40" spans="1:9">
      <c r="A40">
        <v>10428857</v>
      </c>
      <c r="B40">
        <v>9.8669008002798204</v>
      </c>
      <c r="C40">
        <v>7.2222645238739398</v>
      </c>
      <c r="D40" t="s">
        <v>1874</v>
      </c>
      <c r="E40" t="s">
        <v>1875</v>
      </c>
      <c r="F40" t="s">
        <v>1733</v>
      </c>
      <c r="G40" t="s">
        <v>2010</v>
      </c>
      <c r="I40" s="8" t="e">
        <f>MATCH(A40,'GC-B cell original comparision'!$E$6:$E$237,0)</f>
        <v>#N/A</v>
      </c>
    </row>
    <row r="41" spans="1:9">
      <c r="A41">
        <v>10485622</v>
      </c>
      <c r="B41">
        <v>9.7614218225427596</v>
      </c>
      <c r="C41">
        <v>10.2434626768088</v>
      </c>
      <c r="D41" t="s">
        <v>1734</v>
      </c>
      <c r="E41" t="s">
        <v>1735</v>
      </c>
      <c r="F41" t="s">
        <v>1736</v>
      </c>
      <c r="G41" t="s">
        <v>2010</v>
      </c>
      <c r="I41" s="8" t="e">
        <f>MATCH(A41,'GC-B cell original comparision'!$E$6:$E$237,0)</f>
        <v>#N/A</v>
      </c>
    </row>
    <row r="42" spans="1:9">
      <c r="A42">
        <v>10500295</v>
      </c>
      <c r="B42">
        <v>9.6332874041407202</v>
      </c>
      <c r="C42">
        <v>6.3291065317691499</v>
      </c>
      <c r="D42" t="s">
        <v>1737</v>
      </c>
      <c r="E42" t="s">
        <v>1738</v>
      </c>
      <c r="F42" t="s">
        <v>1739</v>
      </c>
      <c r="G42" t="s">
        <v>2010</v>
      </c>
      <c r="I42" s="8" t="e">
        <f>MATCH(A42,'GC-B cell original comparision'!$E$6:$E$237,0)</f>
        <v>#N/A</v>
      </c>
    </row>
    <row r="43" spans="1:9">
      <c r="A43">
        <v>10542164</v>
      </c>
      <c r="B43">
        <v>9.5823926997664213</v>
      </c>
      <c r="C43">
        <v>5.5774730804299999</v>
      </c>
      <c r="D43" t="s">
        <v>1740</v>
      </c>
      <c r="E43" t="s">
        <v>1741</v>
      </c>
      <c r="F43" t="s">
        <v>1880</v>
      </c>
      <c r="G43" t="s">
        <v>2010</v>
      </c>
      <c r="I43" s="8" t="e">
        <f>MATCH(A43,'GC-B cell original comparision'!$E$6:$E$237,0)</f>
        <v>#N/A</v>
      </c>
    </row>
    <row r="44" spans="1:9">
      <c r="A44">
        <v>10352767</v>
      </c>
      <c r="B44">
        <v>9.5508187915506575</v>
      </c>
      <c r="C44">
        <v>7.8806843977068297</v>
      </c>
      <c r="D44" t="s">
        <v>1881</v>
      </c>
      <c r="E44" t="s">
        <v>1882</v>
      </c>
      <c r="F44" t="s">
        <v>1883</v>
      </c>
      <c r="G44" t="s">
        <v>2010</v>
      </c>
      <c r="I44" s="8">
        <f>MATCH(A44,'GC-B cell original comparision'!$E$6:$E$237,0)</f>
        <v>18</v>
      </c>
    </row>
    <row r="45" spans="1:9">
      <c r="A45">
        <v>10462866</v>
      </c>
      <c r="B45">
        <v>9.4969683785332695</v>
      </c>
      <c r="C45">
        <v>9.6273404123238997</v>
      </c>
      <c r="D45" t="s">
        <v>1884</v>
      </c>
      <c r="E45" t="s">
        <v>1885</v>
      </c>
      <c r="F45" t="s">
        <v>1886</v>
      </c>
      <c r="G45" t="s">
        <v>2010</v>
      </c>
      <c r="I45" s="8">
        <f>MATCH(A45,'GC-B cell original comparision'!$E$6:$E$237,0)</f>
        <v>10</v>
      </c>
    </row>
    <row r="46" spans="1:9">
      <c r="A46">
        <v>10404840</v>
      </c>
      <c r="B46">
        <v>9.4827382891115803</v>
      </c>
      <c r="C46">
        <v>5.7707186553830097</v>
      </c>
      <c r="D46" t="s">
        <v>1887</v>
      </c>
      <c r="E46" t="s">
        <v>1888</v>
      </c>
      <c r="F46" t="s">
        <v>1753</v>
      </c>
      <c r="G46" t="s">
        <v>2010</v>
      </c>
      <c r="I46" s="8" t="e">
        <f>MATCH(A46,'GC-B cell original comparision'!$E$6:$E$237,0)</f>
        <v>#N/A</v>
      </c>
    </row>
    <row r="47" spans="1:9">
      <c r="A47">
        <v>10403009</v>
      </c>
      <c r="B47">
        <v>9.30729137438062</v>
      </c>
      <c r="C47">
        <v>6.2805281782803597</v>
      </c>
      <c r="D47" t="s">
        <v>1754</v>
      </c>
      <c r="E47" t="s">
        <v>1755</v>
      </c>
      <c r="F47" t="s">
        <v>1756</v>
      </c>
      <c r="G47" t="s">
        <v>1916</v>
      </c>
      <c r="I47" s="8" t="e">
        <f>MATCH(A47,'GC-B cell original comparision'!$E$6:$E$237,0)</f>
        <v>#N/A</v>
      </c>
    </row>
    <row r="48" spans="1:9">
      <c r="A48">
        <v>10525365</v>
      </c>
      <c r="B48">
        <v>9.2261066689219309</v>
      </c>
      <c r="C48">
        <v>7.8900767498166502</v>
      </c>
      <c r="D48" t="s">
        <v>1757</v>
      </c>
      <c r="E48" t="s">
        <v>1758</v>
      </c>
      <c r="F48" t="s">
        <v>1759</v>
      </c>
      <c r="G48" t="s">
        <v>2010</v>
      </c>
      <c r="I48" s="8" t="e">
        <f>MATCH(A48,'GC-B cell original comparision'!$E$6:$E$237,0)</f>
        <v>#N/A</v>
      </c>
    </row>
    <row r="49" spans="1:9">
      <c r="A49">
        <v>10431962</v>
      </c>
      <c r="B49">
        <v>9.1301482949413408</v>
      </c>
      <c r="C49">
        <v>1.25850778803908</v>
      </c>
      <c r="D49" t="s">
        <v>1760</v>
      </c>
      <c r="E49" t="s">
        <v>1761</v>
      </c>
      <c r="F49" t="s">
        <v>1762</v>
      </c>
      <c r="G49" t="s">
        <v>2010</v>
      </c>
      <c r="I49" s="8" t="e">
        <f>MATCH(A49,'GC-B cell original comparision'!$E$6:$E$237,0)</f>
        <v>#N/A</v>
      </c>
    </row>
    <row r="50" spans="1:9">
      <c r="A50">
        <v>10420877</v>
      </c>
      <c r="B50">
        <v>8.8753751579893301</v>
      </c>
      <c r="C50">
        <v>8.8547686356821398</v>
      </c>
      <c r="D50" t="s">
        <v>1763</v>
      </c>
      <c r="E50" t="s">
        <v>1764</v>
      </c>
      <c r="F50" t="s">
        <v>1589</v>
      </c>
      <c r="G50" t="s">
        <v>2010</v>
      </c>
      <c r="I50" s="8">
        <f>MATCH(A50,'GC-B cell original comparision'!$E$6:$E$237,0)</f>
        <v>15</v>
      </c>
    </row>
    <row r="51" spans="1:9">
      <c r="A51">
        <v>10412345</v>
      </c>
      <c r="B51">
        <v>8.8595763286146809</v>
      </c>
      <c r="C51">
        <v>4.1779891957521498</v>
      </c>
      <c r="D51" t="s">
        <v>1590</v>
      </c>
      <c r="E51" t="s">
        <v>1591</v>
      </c>
      <c r="F51" t="s">
        <v>1592</v>
      </c>
      <c r="G51" t="s">
        <v>2010</v>
      </c>
      <c r="I51" s="8" t="e">
        <f>MATCH(A51,'GC-B cell original comparision'!$E$6:$E$237,0)</f>
        <v>#N/A</v>
      </c>
    </row>
    <row r="52" spans="1:9">
      <c r="A52">
        <v>10368289</v>
      </c>
      <c r="B52">
        <v>8.6154623561468018</v>
      </c>
      <c r="C52">
        <v>1.2247552300228399</v>
      </c>
      <c r="D52" t="s">
        <v>1593</v>
      </c>
      <c r="E52" t="s">
        <v>1594</v>
      </c>
      <c r="F52" t="s">
        <v>1595</v>
      </c>
      <c r="G52" t="s">
        <v>2010</v>
      </c>
      <c r="I52" s="8">
        <f>MATCH(A52,'GC-B cell original comparision'!$E$6:$E$237,0)</f>
        <v>26</v>
      </c>
    </row>
    <row r="53" spans="1:9">
      <c r="A53">
        <v>10469110</v>
      </c>
      <c r="B53">
        <v>8.6069458941666408</v>
      </c>
      <c r="C53">
        <v>5.9991248958303798</v>
      </c>
      <c r="D53" t="s">
        <v>1596</v>
      </c>
      <c r="E53" t="s">
        <v>1597</v>
      </c>
      <c r="F53" t="s">
        <v>1598</v>
      </c>
      <c r="G53" t="s">
        <v>2010</v>
      </c>
      <c r="I53" s="8" t="e">
        <f>MATCH(A53,'GC-B cell original comparision'!$E$6:$E$237,0)</f>
        <v>#N/A</v>
      </c>
    </row>
    <row r="54" spans="1:9">
      <c r="A54">
        <v>10534585</v>
      </c>
      <c r="B54">
        <v>8.5193038834256996</v>
      </c>
      <c r="C54">
        <v>1.83830697643074</v>
      </c>
      <c r="D54" t="s">
        <v>1599</v>
      </c>
      <c r="E54" t="s">
        <v>1600</v>
      </c>
      <c r="F54" t="s">
        <v>1601</v>
      </c>
      <c r="G54" t="s">
        <v>2010</v>
      </c>
      <c r="I54" s="8" t="e">
        <f>MATCH(A54,'GC-B cell original comparision'!$E$6:$E$237,0)</f>
        <v>#N/A</v>
      </c>
    </row>
    <row r="55" spans="1:9">
      <c r="A55">
        <v>10547621</v>
      </c>
      <c r="B55">
        <v>8.5164290574628403</v>
      </c>
      <c r="C55">
        <v>5.9128660020378598</v>
      </c>
      <c r="D55" t="s">
        <v>1602</v>
      </c>
      <c r="E55" t="s">
        <v>1603</v>
      </c>
      <c r="F55" t="s">
        <v>1774</v>
      </c>
      <c r="G55" t="s">
        <v>2010</v>
      </c>
      <c r="I55" s="8" t="e">
        <f>MATCH(A55,'GC-B cell original comparision'!$E$6:$E$237,0)</f>
        <v>#N/A</v>
      </c>
    </row>
    <row r="56" spans="1:9">
      <c r="A56">
        <v>10358389</v>
      </c>
      <c r="B56">
        <v>8.4089601918760302</v>
      </c>
      <c r="C56">
        <v>4.11024159598289</v>
      </c>
      <c r="D56" t="s">
        <v>1775</v>
      </c>
      <c r="E56" t="s">
        <v>1776</v>
      </c>
      <c r="F56" t="s">
        <v>1777</v>
      </c>
      <c r="G56" t="s">
        <v>2010</v>
      </c>
      <c r="I56" s="8" t="e">
        <f>MATCH(A56,'GC-B cell original comparision'!$E$6:$E$237,0)</f>
        <v>#N/A</v>
      </c>
    </row>
    <row r="57" spans="1:9">
      <c r="A57">
        <v>10418927</v>
      </c>
      <c r="B57">
        <v>8.14448882316176</v>
      </c>
      <c r="C57">
        <v>1.08670022425436</v>
      </c>
      <c r="D57" t="s">
        <v>1778</v>
      </c>
      <c r="E57" t="s">
        <v>1779</v>
      </c>
      <c r="F57" t="s">
        <v>1780</v>
      </c>
      <c r="G57" t="s">
        <v>2010</v>
      </c>
      <c r="I57" s="8" t="e">
        <f>MATCH(A57,'GC-B cell original comparision'!$E$6:$E$237,0)</f>
        <v>#N/A</v>
      </c>
    </row>
    <row r="58" spans="1:9">
      <c r="A58">
        <v>10366546</v>
      </c>
      <c r="B58">
        <v>8.0933332683154209</v>
      </c>
      <c r="C58">
        <v>8.2312407872942597</v>
      </c>
      <c r="D58" t="s">
        <v>1781</v>
      </c>
      <c r="E58" t="s">
        <v>1782</v>
      </c>
      <c r="F58" t="s">
        <v>1783</v>
      </c>
      <c r="G58" t="s">
        <v>2010</v>
      </c>
      <c r="I58" s="8" t="e">
        <f>MATCH(A58,'GC-B cell original comparision'!$E$6:$E$237,0)</f>
        <v>#N/A</v>
      </c>
    </row>
    <row r="59" spans="1:9">
      <c r="A59">
        <v>10545184</v>
      </c>
      <c r="B59">
        <v>7.8834626036091704</v>
      </c>
      <c r="C59">
        <v>6.1343818957428802</v>
      </c>
      <c r="D59" s="10" t="s">
        <v>2038</v>
      </c>
      <c r="E59" s="10"/>
      <c r="I59" s="8" t="e">
        <f>MATCH(A59,'GC-B cell original comparision'!$E$6:$E$237,0)</f>
        <v>#N/A</v>
      </c>
    </row>
    <row r="60" spans="1:9">
      <c r="A60">
        <v>10364109</v>
      </c>
      <c r="B60">
        <v>7.6014844634333496</v>
      </c>
      <c r="C60">
        <v>3.39840958850837</v>
      </c>
      <c r="D60" t="s">
        <v>1784</v>
      </c>
      <c r="E60" t="s">
        <v>1785</v>
      </c>
      <c r="F60" t="s">
        <v>1786</v>
      </c>
      <c r="G60" t="s">
        <v>2010</v>
      </c>
      <c r="I60" s="8" t="e">
        <f>MATCH(A60,'GC-B cell original comparision'!$E$6:$E$237,0)</f>
        <v>#N/A</v>
      </c>
    </row>
    <row r="61" spans="1:9">
      <c r="A61">
        <v>10434806</v>
      </c>
      <c r="B61">
        <v>7.53925697440474</v>
      </c>
      <c r="C61">
        <v>5.4855407228523596</v>
      </c>
      <c r="D61" t="s">
        <v>1618</v>
      </c>
      <c r="E61" t="s">
        <v>1619</v>
      </c>
      <c r="F61" t="s">
        <v>1620</v>
      </c>
      <c r="G61" t="s">
        <v>2010</v>
      </c>
      <c r="I61" s="8" t="e">
        <f>MATCH(A61,'GC-B cell original comparision'!$E$6:$E$237,0)</f>
        <v>#N/A</v>
      </c>
    </row>
    <row r="62" spans="1:9">
      <c r="A62">
        <v>10545101</v>
      </c>
      <c r="B62">
        <v>7.4980661282116001</v>
      </c>
      <c r="C62">
        <v>4.2410202653568003</v>
      </c>
      <c r="D62" t="s">
        <v>1621</v>
      </c>
      <c r="E62" t="s">
        <v>1622</v>
      </c>
      <c r="F62" t="s">
        <v>1623</v>
      </c>
      <c r="G62" t="s">
        <v>2010</v>
      </c>
      <c r="I62" s="8" t="e">
        <f>MATCH(A62,'GC-B cell original comparision'!$E$6:$E$237,0)</f>
        <v>#N/A</v>
      </c>
    </row>
    <row r="63" spans="1:9">
      <c r="A63">
        <v>10508465</v>
      </c>
      <c r="B63">
        <v>7.4796776162137197</v>
      </c>
      <c r="C63">
        <v>3.0677150627739098</v>
      </c>
      <c r="D63" t="s">
        <v>1624</v>
      </c>
      <c r="E63" t="s">
        <v>1625</v>
      </c>
      <c r="F63" t="s">
        <v>1626</v>
      </c>
      <c r="G63" t="s">
        <v>2010</v>
      </c>
      <c r="I63" s="8" t="e">
        <f>MATCH(A63,'GC-B cell original comparision'!$E$6:$E$237,0)</f>
        <v>#N/A</v>
      </c>
    </row>
    <row r="64" spans="1:9">
      <c r="A64">
        <v>10435525</v>
      </c>
      <c r="B64">
        <v>7.2875596242825296</v>
      </c>
      <c r="C64">
        <v>3.6537563727818099</v>
      </c>
      <c r="D64" t="s">
        <v>1627</v>
      </c>
      <c r="E64" t="s">
        <v>1628</v>
      </c>
      <c r="F64" t="s">
        <v>1629</v>
      </c>
      <c r="G64" t="s">
        <v>2010</v>
      </c>
      <c r="I64" s="8">
        <f>MATCH(A64,'GC-B cell original comparision'!$E$6:$E$237,0)</f>
        <v>104</v>
      </c>
    </row>
    <row r="65" spans="1:9">
      <c r="A65">
        <v>10406581</v>
      </c>
      <c r="B65">
        <v>7.2818600985330004</v>
      </c>
      <c r="C65">
        <v>8.9836166017606605</v>
      </c>
      <c r="D65" t="s">
        <v>1630</v>
      </c>
      <c r="E65" t="s">
        <v>1631</v>
      </c>
      <c r="F65" t="s">
        <v>1632</v>
      </c>
      <c r="G65" t="s">
        <v>2010</v>
      </c>
      <c r="I65" s="8">
        <f>MATCH(A65,'GC-B cell original comparision'!$E$6:$E$237,0)</f>
        <v>20</v>
      </c>
    </row>
    <row r="66" spans="1:9">
      <c r="A66">
        <v>10513362</v>
      </c>
      <c r="B66">
        <v>7.2438455897017002</v>
      </c>
      <c r="C66">
        <v>4.8836780982312096</v>
      </c>
      <c r="D66" t="s">
        <v>1633</v>
      </c>
      <c r="E66" t="s">
        <v>1634</v>
      </c>
      <c r="F66" t="s">
        <v>1635</v>
      </c>
      <c r="G66" t="s">
        <v>2010</v>
      </c>
      <c r="I66" s="8" t="e">
        <f>MATCH(A66,'GC-B cell original comparision'!$E$6:$E$237,0)</f>
        <v>#N/A</v>
      </c>
    </row>
    <row r="67" spans="1:9">
      <c r="A67">
        <v>10427895</v>
      </c>
      <c r="B67">
        <v>7.2411136426601299</v>
      </c>
      <c r="C67">
        <v>1.44485602690073</v>
      </c>
      <c r="D67" t="s">
        <v>1636</v>
      </c>
      <c r="E67" t="s">
        <v>1637</v>
      </c>
      <c r="F67" t="s">
        <v>1803</v>
      </c>
      <c r="G67" t="s">
        <v>2010</v>
      </c>
      <c r="I67" s="8" t="e">
        <f>MATCH(A67,'GC-B cell original comparision'!$E$6:$E$237,0)</f>
        <v>#N/A</v>
      </c>
    </row>
    <row r="68" spans="1:9">
      <c r="A68">
        <v>10479833</v>
      </c>
      <c r="B68">
        <v>7.1676236701051304</v>
      </c>
      <c r="C68">
        <v>1.9145015054597001</v>
      </c>
      <c r="D68" t="s">
        <v>1804</v>
      </c>
      <c r="E68" t="s">
        <v>1805</v>
      </c>
      <c r="F68" t="s">
        <v>1806</v>
      </c>
      <c r="G68" t="s">
        <v>2010</v>
      </c>
      <c r="I68" s="8">
        <f>MATCH(A68,'GC-B cell original comparision'!$E$6:$E$237,0)</f>
        <v>71</v>
      </c>
    </row>
    <row r="69" spans="1:9">
      <c r="A69">
        <v>10419170</v>
      </c>
      <c r="B69">
        <v>7.1654315558893797</v>
      </c>
      <c r="C69">
        <v>5.8897023342069801</v>
      </c>
      <c r="D69" t="s">
        <v>1807</v>
      </c>
      <c r="E69" t="s">
        <v>1808</v>
      </c>
      <c r="F69" t="s">
        <v>1809</v>
      </c>
      <c r="G69" t="s">
        <v>2010</v>
      </c>
      <c r="I69" s="8" t="e">
        <f>MATCH(A69,'GC-B cell original comparision'!$E$6:$E$237,0)</f>
        <v>#N/A</v>
      </c>
    </row>
    <row r="70" spans="1:9">
      <c r="A70">
        <v>10353272</v>
      </c>
      <c r="B70">
        <v>7.1551186735599002</v>
      </c>
      <c r="C70">
        <v>1.8803092371818899</v>
      </c>
      <c r="D70" t="s">
        <v>1810</v>
      </c>
      <c r="E70" t="s">
        <v>1645</v>
      </c>
      <c r="F70" t="s">
        <v>1646</v>
      </c>
      <c r="G70" t="s">
        <v>2010</v>
      </c>
      <c r="I70" s="8">
        <f>MATCH(A70,'GC-B cell original comparision'!$E$6:$E$237,0)</f>
        <v>91</v>
      </c>
    </row>
    <row r="71" spans="1:9">
      <c r="A71">
        <v>10351667</v>
      </c>
      <c r="B71">
        <v>7.0050964486284499</v>
      </c>
      <c r="C71">
        <v>6.4920817899204701</v>
      </c>
      <c r="D71" t="s">
        <v>1647</v>
      </c>
      <c r="E71" t="s">
        <v>1648</v>
      </c>
      <c r="F71" t="s">
        <v>1649</v>
      </c>
      <c r="G71" t="s">
        <v>2010</v>
      </c>
      <c r="I71" s="8" t="e">
        <f>MATCH(A71,'GC-B cell original comparision'!$E$6:$E$237,0)</f>
        <v>#N/A</v>
      </c>
    </row>
    <row r="72" spans="1:9">
      <c r="A72">
        <v>10382257</v>
      </c>
      <c r="B72">
        <v>6.9861903055196306</v>
      </c>
      <c r="C72">
        <v>3.7606369990398498</v>
      </c>
      <c r="D72" t="s">
        <v>1650</v>
      </c>
      <c r="E72" t="s">
        <v>1651</v>
      </c>
      <c r="F72" t="s">
        <v>1820</v>
      </c>
      <c r="G72" t="s">
        <v>2010</v>
      </c>
      <c r="I72" s="8">
        <f>MATCH(A72,'GC-B cell original comparision'!$E$6:$E$237,0)</f>
        <v>162</v>
      </c>
    </row>
    <row r="73" spans="1:9">
      <c r="A73">
        <v>10427816</v>
      </c>
      <c r="B73">
        <v>6.9317466218629704</v>
      </c>
      <c r="C73">
        <v>2.7637771741766599</v>
      </c>
      <c r="D73" t="s">
        <v>1821</v>
      </c>
      <c r="E73" t="s">
        <v>1822</v>
      </c>
      <c r="F73" t="s">
        <v>1823</v>
      </c>
      <c r="G73" t="s">
        <v>2010</v>
      </c>
      <c r="I73" s="8">
        <f>MATCH(A73,'GC-B cell original comparision'!$E$6:$E$237,0)</f>
        <v>69</v>
      </c>
    </row>
    <row r="74" spans="1:9">
      <c r="A74">
        <v>10566268</v>
      </c>
      <c r="B74">
        <v>6.8654055506112703</v>
      </c>
      <c r="C74">
        <v>0.13333322923426499</v>
      </c>
      <c r="D74" t="s">
        <v>1824</v>
      </c>
      <c r="E74" t="s">
        <v>1825</v>
      </c>
      <c r="F74" t="s">
        <v>2160</v>
      </c>
      <c r="G74" t="s">
        <v>2010</v>
      </c>
      <c r="I74" s="8">
        <f>MATCH(A74,'GC-B cell original comparision'!$E$6:$E$237,0)</f>
        <v>99</v>
      </c>
    </row>
    <row r="75" spans="1:9">
      <c r="A75">
        <v>10596222</v>
      </c>
      <c r="B75">
        <v>6.8385056995468503</v>
      </c>
      <c r="C75">
        <v>0.974043172118779</v>
      </c>
      <c r="D75" t="s">
        <v>1826</v>
      </c>
      <c r="E75" t="s">
        <v>1827</v>
      </c>
      <c r="F75" t="s">
        <v>1828</v>
      </c>
      <c r="G75" t="s">
        <v>2010</v>
      </c>
      <c r="I75" s="8">
        <f>MATCH(A75,'GC-B cell original comparision'!$E$6:$E$237,0)</f>
        <v>80</v>
      </c>
    </row>
    <row r="76" spans="1:9">
      <c r="A76">
        <v>10575799</v>
      </c>
      <c r="B76">
        <v>6.8167928881676803</v>
      </c>
      <c r="C76">
        <v>8.7647491566408</v>
      </c>
      <c r="D76" t="s">
        <v>1829</v>
      </c>
      <c r="E76" t="s">
        <v>1830</v>
      </c>
      <c r="F76" t="s">
        <v>1661</v>
      </c>
      <c r="G76" t="s">
        <v>2010</v>
      </c>
      <c r="I76" s="8" t="e">
        <f>MATCH(A76,'GC-B cell original comparision'!$E$6:$E$237,0)</f>
        <v>#N/A</v>
      </c>
    </row>
    <row r="77" spans="1:9">
      <c r="A77">
        <v>10506680</v>
      </c>
      <c r="B77">
        <v>6.7787644664962103</v>
      </c>
      <c r="C77">
        <v>1.8773643957500401</v>
      </c>
      <c r="D77" t="s">
        <v>1662</v>
      </c>
      <c r="E77" t="s">
        <v>1663</v>
      </c>
      <c r="F77" t="s">
        <v>1664</v>
      </c>
      <c r="G77" t="s">
        <v>2010</v>
      </c>
      <c r="I77" s="8">
        <f>MATCH(A77,'GC-B cell original comparision'!$E$6:$E$237,0)</f>
        <v>34</v>
      </c>
    </row>
    <row r="78" spans="1:9">
      <c r="A78">
        <v>10431170</v>
      </c>
      <c r="B78">
        <v>6.7618593910761202</v>
      </c>
      <c r="C78">
        <v>4.2938799661026996</v>
      </c>
      <c r="D78" t="s">
        <v>1665</v>
      </c>
      <c r="E78" t="s">
        <v>1666</v>
      </c>
      <c r="F78" t="s">
        <v>1667</v>
      </c>
      <c r="G78" t="s">
        <v>2010</v>
      </c>
      <c r="I78" s="8" t="e">
        <f>MATCH(A78,'GC-B cell original comparision'!$E$6:$E$237,0)</f>
        <v>#N/A</v>
      </c>
    </row>
    <row r="79" spans="1:9">
      <c r="A79">
        <v>10543067</v>
      </c>
      <c r="B79">
        <v>6.7175746852134504</v>
      </c>
      <c r="C79">
        <v>2.1765325482779101</v>
      </c>
      <c r="D79" t="s">
        <v>1668</v>
      </c>
      <c r="E79" t="s">
        <v>1669</v>
      </c>
      <c r="F79" t="s">
        <v>1670</v>
      </c>
      <c r="G79" t="s">
        <v>2010</v>
      </c>
      <c r="I79" s="8" t="e">
        <f>MATCH(A79,'GC-B cell original comparision'!$E$6:$E$237,0)</f>
        <v>#N/A</v>
      </c>
    </row>
    <row r="80" spans="1:9">
      <c r="A80">
        <v>10540579</v>
      </c>
      <c r="B80">
        <v>6.7099543406565099</v>
      </c>
      <c r="C80">
        <v>3.41929872250835</v>
      </c>
      <c r="D80" t="s">
        <v>1671</v>
      </c>
      <c r="E80" t="s">
        <v>1672</v>
      </c>
      <c r="F80" t="s">
        <v>1673</v>
      </c>
      <c r="G80" t="s">
        <v>2010</v>
      </c>
      <c r="I80" s="8">
        <f>MATCH(A80,'GC-B cell original comparision'!$E$6:$E$237,0)</f>
        <v>112</v>
      </c>
    </row>
    <row r="81" spans="1:9">
      <c r="A81">
        <v>10406598</v>
      </c>
      <c r="B81">
        <v>6.7037383098275001</v>
      </c>
      <c r="C81">
        <v>2.4194088668698002</v>
      </c>
      <c r="D81" t="s">
        <v>1674</v>
      </c>
      <c r="E81" t="s">
        <v>1675</v>
      </c>
      <c r="F81" t="s">
        <v>1503</v>
      </c>
      <c r="G81" t="s">
        <v>2010</v>
      </c>
      <c r="I81" s="8" t="e">
        <f>MATCH(A81,'GC-B cell original comparision'!$E$6:$E$237,0)</f>
        <v>#N/A</v>
      </c>
    </row>
    <row r="82" spans="1:9">
      <c r="A82">
        <v>10476648</v>
      </c>
      <c r="B82">
        <v>6.6870780323264603</v>
      </c>
      <c r="C82">
        <v>2.9852636970610802</v>
      </c>
      <c r="D82" t="s">
        <v>1504</v>
      </c>
      <c r="E82" t="s">
        <v>1505</v>
      </c>
      <c r="F82" t="s">
        <v>1506</v>
      </c>
      <c r="G82" t="s">
        <v>2010</v>
      </c>
      <c r="I82" s="8" t="e">
        <f>MATCH(A82,'GC-B cell original comparision'!$E$6:$E$237,0)</f>
        <v>#N/A</v>
      </c>
    </row>
    <row r="83" spans="1:9">
      <c r="A83">
        <v>10469571</v>
      </c>
      <c r="B83">
        <v>6.6463389640943404</v>
      </c>
      <c r="C83">
        <v>2.9767629178088599</v>
      </c>
      <c r="D83" t="s">
        <v>1507</v>
      </c>
      <c r="E83" t="s">
        <v>1508</v>
      </c>
      <c r="F83" t="s">
        <v>1509</v>
      </c>
      <c r="G83" t="s">
        <v>2010</v>
      </c>
      <c r="I83" s="8" t="e">
        <f>MATCH(A83,'GC-B cell original comparision'!$E$6:$E$237,0)</f>
        <v>#N/A</v>
      </c>
    </row>
    <row r="84" spans="1:9">
      <c r="A84">
        <v>10400748</v>
      </c>
      <c r="B84">
        <v>6.6415349692982302</v>
      </c>
      <c r="C84">
        <v>1.06358966040689</v>
      </c>
      <c r="D84" t="s">
        <v>1510</v>
      </c>
      <c r="E84" t="s">
        <v>1511</v>
      </c>
      <c r="F84" t="s">
        <v>1512</v>
      </c>
      <c r="G84" t="s">
        <v>2010</v>
      </c>
      <c r="I84" s="8">
        <f>MATCH(A84,'GC-B cell original comparision'!$E$6:$E$237,0)</f>
        <v>76</v>
      </c>
    </row>
    <row r="85" spans="1:9">
      <c r="A85">
        <v>10435769</v>
      </c>
      <c r="B85">
        <v>6.6171464762054004</v>
      </c>
      <c r="C85">
        <v>6.4517770515867596</v>
      </c>
      <c r="D85" t="s">
        <v>1513</v>
      </c>
      <c r="E85" t="s">
        <v>1514</v>
      </c>
      <c r="F85" t="s">
        <v>1515</v>
      </c>
      <c r="G85" t="s">
        <v>2010</v>
      </c>
      <c r="I85" s="8" t="e">
        <f>MATCH(A85,'GC-B cell original comparision'!$E$6:$E$237,0)</f>
        <v>#N/A</v>
      </c>
    </row>
    <row r="86" spans="1:9">
      <c r="A86">
        <v>10545205</v>
      </c>
      <c r="B86">
        <v>6.4877034383386203</v>
      </c>
      <c r="C86">
        <v>3.7651126463639901</v>
      </c>
      <c r="D86" t="s">
        <v>1516</v>
      </c>
      <c r="E86" t="s">
        <v>1517</v>
      </c>
      <c r="F86" t="s">
        <v>1518</v>
      </c>
      <c r="G86" t="s">
        <v>1916</v>
      </c>
      <c r="I86" s="8" t="e">
        <f>MATCH(A86,'GC-B cell original comparision'!$E$6:$E$237,0)</f>
        <v>#N/A</v>
      </c>
    </row>
    <row r="87" spans="1:9">
      <c r="A87">
        <v>10442115</v>
      </c>
      <c r="B87">
        <v>6.4853206078540202</v>
      </c>
      <c r="C87">
        <v>2.5089979269477101</v>
      </c>
      <c r="D87" t="s">
        <v>1519</v>
      </c>
      <c r="E87" t="s">
        <v>1691</v>
      </c>
      <c r="F87" t="s">
        <v>1692</v>
      </c>
      <c r="G87" t="s">
        <v>2010</v>
      </c>
      <c r="I87" s="8" t="e">
        <f>MATCH(A87,'GC-B cell original comparision'!$E$6:$E$237,0)</f>
        <v>#N/A</v>
      </c>
    </row>
    <row r="88" spans="1:9">
      <c r="A88">
        <v>10465895</v>
      </c>
      <c r="B88">
        <v>6.4489854861531004</v>
      </c>
      <c r="C88">
        <v>0.380329719014046</v>
      </c>
      <c r="D88" t="s">
        <v>1693</v>
      </c>
      <c r="E88" t="s">
        <v>1694</v>
      </c>
      <c r="F88" t="s">
        <v>1695</v>
      </c>
      <c r="G88" t="s">
        <v>2010</v>
      </c>
      <c r="I88" s="8" t="e">
        <f>MATCH(A88,'GC-B cell original comparision'!$E$6:$E$237,0)</f>
        <v>#N/A</v>
      </c>
    </row>
    <row r="89" spans="1:9">
      <c r="A89">
        <v>10549504</v>
      </c>
      <c r="B89">
        <v>6.4340291829217104</v>
      </c>
      <c r="C89">
        <v>3.6020872198767599</v>
      </c>
      <c r="D89" t="s">
        <v>1858</v>
      </c>
      <c r="E89" t="s">
        <v>1859</v>
      </c>
      <c r="F89" t="s">
        <v>1860</v>
      </c>
      <c r="G89" t="s">
        <v>2010</v>
      </c>
      <c r="I89" s="8" t="e">
        <f>MATCH(A89,'GC-B cell original comparision'!$E$6:$E$237,0)</f>
        <v>#N/A</v>
      </c>
    </row>
    <row r="90" spans="1:9">
      <c r="A90">
        <v>10421029</v>
      </c>
      <c r="B90">
        <v>6.4117422119424097</v>
      </c>
      <c r="C90">
        <v>5.08087409196495</v>
      </c>
      <c r="D90" t="s">
        <v>1696</v>
      </c>
      <c r="E90" t="s">
        <v>1697</v>
      </c>
      <c r="F90" t="s">
        <v>1698</v>
      </c>
      <c r="G90" t="s">
        <v>2010</v>
      </c>
      <c r="I90" s="8">
        <f>MATCH(A90,'GC-B cell original comparision'!$E$6:$E$237,0)</f>
        <v>35</v>
      </c>
    </row>
    <row r="91" spans="1:9">
      <c r="A91">
        <v>10431266</v>
      </c>
      <c r="B91">
        <v>6.4079036190115604</v>
      </c>
      <c r="C91">
        <v>5.2730117521882001</v>
      </c>
      <c r="D91" t="s">
        <v>1699</v>
      </c>
      <c r="E91" t="s">
        <v>1700</v>
      </c>
      <c r="F91" t="s">
        <v>1701</v>
      </c>
      <c r="G91" t="s">
        <v>2010</v>
      </c>
      <c r="I91" s="8" t="e">
        <f>MATCH(A91,'GC-B cell original comparision'!$E$6:$E$237,0)</f>
        <v>#N/A</v>
      </c>
    </row>
    <row r="92" spans="1:9">
      <c r="A92">
        <v>10397966</v>
      </c>
      <c r="B92">
        <v>6.4047747235496599</v>
      </c>
      <c r="C92">
        <v>1.11519855147673</v>
      </c>
      <c r="D92" t="s">
        <v>1702</v>
      </c>
      <c r="E92" t="s">
        <v>1703</v>
      </c>
      <c r="F92" t="s">
        <v>2156</v>
      </c>
      <c r="G92" t="s">
        <v>2010</v>
      </c>
      <c r="I92" s="8">
        <f>MATCH(A92,'GC-B cell original comparision'!$E$6:$E$237,0)</f>
        <v>78</v>
      </c>
    </row>
    <row r="93" spans="1:9">
      <c r="A93">
        <v>10356267</v>
      </c>
      <c r="B93">
        <v>6.3880221606555301</v>
      </c>
      <c r="C93">
        <v>4.2088997348117703</v>
      </c>
      <c r="D93" t="s">
        <v>1704</v>
      </c>
      <c r="E93" t="s">
        <v>1705</v>
      </c>
      <c r="F93" t="s">
        <v>1534</v>
      </c>
      <c r="G93" t="s">
        <v>2010</v>
      </c>
      <c r="I93" s="8" t="e">
        <f>MATCH(A93,'GC-B cell original comparision'!$E$6:$E$237,0)</f>
        <v>#N/A</v>
      </c>
    </row>
    <row r="94" spans="1:9">
      <c r="A94">
        <v>10478409</v>
      </c>
      <c r="B94">
        <v>6.3595895022433497</v>
      </c>
      <c r="C94">
        <v>4.3049807161864697</v>
      </c>
      <c r="D94" t="s">
        <v>1535</v>
      </c>
      <c r="E94" t="s">
        <v>1536</v>
      </c>
      <c r="F94" t="s">
        <v>1537</v>
      </c>
      <c r="G94" t="s">
        <v>2010</v>
      </c>
      <c r="I94" s="8" t="e">
        <f>MATCH(A94,'GC-B cell original comparision'!$E$6:$E$237,0)</f>
        <v>#N/A</v>
      </c>
    </row>
    <row r="95" spans="1:9">
      <c r="A95">
        <v>10399148</v>
      </c>
      <c r="B95">
        <v>6.3551388599191396</v>
      </c>
      <c r="C95">
        <v>4.9492678028234804</v>
      </c>
      <c r="D95" t="s">
        <v>1538</v>
      </c>
      <c r="E95" t="s">
        <v>1539</v>
      </c>
      <c r="F95" t="s">
        <v>1540</v>
      </c>
      <c r="G95" t="s">
        <v>2010</v>
      </c>
      <c r="I95" s="8" t="e">
        <f>MATCH(A95,'GC-B cell original comparision'!$E$6:$E$237,0)</f>
        <v>#N/A</v>
      </c>
    </row>
    <row r="96" spans="1:9">
      <c r="A96">
        <v>10585282</v>
      </c>
      <c r="B96">
        <v>6.2502574489992702</v>
      </c>
      <c r="C96">
        <v>3.7545827340750901</v>
      </c>
      <c r="D96" t="s">
        <v>1541</v>
      </c>
      <c r="E96" t="s">
        <v>1542</v>
      </c>
      <c r="F96" t="s">
        <v>1543</v>
      </c>
      <c r="G96" t="s">
        <v>2010</v>
      </c>
      <c r="I96" s="8" t="e">
        <f>MATCH(A96,'GC-B cell original comparision'!$E$6:$E$237,0)</f>
        <v>#N/A</v>
      </c>
    </row>
    <row r="97" spans="1:9">
      <c r="A97">
        <v>10430818</v>
      </c>
      <c r="B97">
        <v>6.2256764286775796</v>
      </c>
      <c r="C97">
        <v>4.23155614727533</v>
      </c>
      <c r="D97" t="s">
        <v>1544</v>
      </c>
      <c r="E97" t="s">
        <v>1545</v>
      </c>
      <c r="F97" t="s">
        <v>1546</v>
      </c>
      <c r="G97" t="s">
        <v>2010</v>
      </c>
      <c r="I97" s="8" t="e">
        <f>MATCH(A97,'GC-B cell original comparision'!$E$6:$E$237,0)</f>
        <v>#N/A</v>
      </c>
    </row>
    <row r="98" spans="1:9">
      <c r="A98">
        <v>10361381</v>
      </c>
      <c r="B98">
        <v>6.0715855020962799</v>
      </c>
      <c r="C98">
        <v>0.33456959917618401</v>
      </c>
      <c r="D98" t="s">
        <v>1547</v>
      </c>
      <c r="E98" t="s">
        <v>1548</v>
      </c>
      <c r="F98" t="s">
        <v>1549</v>
      </c>
      <c r="G98" t="s">
        <v>2010</v>
      </c>
      <c r="I98" s="8" t="e">
        <f>MATCH(A98,'GC-B cell original comparision'!$E$6:$E$237,0)</f>
        <v>#N/A</v>
      </c>
    </row>
    <row r="99" spans="1:9">
      <c r="A99">
        <v>10425890</v>
      </c>
      <c r="B99">
        <v>6.03269470222906</v>
      </c>
      <c r="C99">
        <v>0.78715421744111902</v>
      </c>
      <c r="D99" t="s">
        <v>1550</v>
      </c>
      <c r="E99" t="s">
        <v>1551</v>
      </c>
      <c r="F99" t="s">
        <v>1727</v>
      </c>
      <c r="G99" t="s">
        <v>2010</v>
      </c>
      <c r="I99" s="8" t="e">
        <f>MATCH(A99,'GC-B cell original comparision'!$E$6:$E$237,0)</f>
        <v>#N/A</v>
      </c>
    </row>
    <row r="100" spans="1:9">
      <c r="A100">
        <v>10435789</v>
      </c>
      <c r="B100">
        <v>6.0159491115171697</v>
      </c>
      <c r="C100">
        <v>5.5334441248633004</v>
      </c>
      <c r="D100" t="s">
        <v>1513</v>
      </c>
      <c r="E100" t="s">
        <v>1514</v>
      </c>
      <c r="F100" t="s">
        <v>1515</v>
      </c>
      <c r="G100" t="s">
        <v>2010</v>
      </c>
      <c r="I100" s="8" t="e">
        <f>MATCH(A100,'GC-B cell original comparision'!$E$6:$E$237,0)</f>
        <v>#N/A</v>
      </c>
    </row>
    <row r="101" spans="1:9">
      <c r="A101">
        <v>10596190</v>
      </c>
      <c r="B101">
        <v>5.9718795430256799</v>
      </c>
      <c r="C101">
        <v>3.4280696749586199</v>
      </c>
      <c r="D101" t="s">
        <v>1728</v>
      </c>
      <c r="E101" t="s">
        <v>1729</v>
      </c>
      <c r="F101" t="s">
        <v>1730</v>
      </c>
      <c r="G101" t="s">
        <v>2010</v>
      </c>
      <c r="I101" s="8" t="e">
        <f>MATCH(A101,'GC-B cell original comparision'!$E$6:$E$237,0)</f>
        <v>#N/A</v>
      </c>
    </row>
    <row r="102" spans="1:9">
      <c r="A102">
        <v>10347748</v>
      </c>
      <c r="B102">
        <v>5.9691055172157501</v>
      </c>
      <c r="C102">
        <v>2.2065622771337399</v>
      </c>
      <c r="D102" t="s">
        <v>1731</v>
      </c>
      <c r="E102" t="s">
        <v>1732</v>
      </c>
      <c r="F102" t="s">
        <v>1559</v>
      </c>
      <c r="G102" t="s">
        <v>2010</v>
      </c>
      <c r="I102" s="8" t="e">
        <f>MATCH(A102,'GC-B cell original comparision'!$E$6:$E$237,0)</f>
        <v>#N/A</v>
      </c>
    </row>
    <row r="103" spans="1:9">
      <c r="A103">
        <v>10547088</v>
      </c>
      <c r="B103">
        <v>5.9566627744200904</v>
      </c>
      <c r="C103">
        <v>2.2585584551264501</v>
      </c>
      <c r="D103" t="s">
        <v>1560</v>
      </c>
      <c r="E103" t="s">
        <v>1561</v>
      </c>
      <c r="F103" t="s">
        <v>1562</v>
      </c>
      <c r="G103" t="s">
        <v>2010</v>
      </c>
      <c r="I103" s="8">
        <f>MATCH(A103,'GC-B cell original comparision'!$E$6:$E$237,0)</f>
        <v>37</v>
      </c>
    </row>
    <row r="104" spans="1:9">
      <c r="A104">
        <v>10451225</v>
      </c>
      <c r="B104">
        <v>5.9278400808628602</v>
      </c>
      <c r="C104">
        <v>2.96644617183237</v>
      </c>
      <c r="D104" t="s">
        <v>1563</v>
      </c>
      <c r="E104" t="s">
        <v>1564</v>
      </c>
      <c r="F104" t="s">
        <v>2084</v>
      </c>
      <c r="G104" t="s">
        <v>2010</v>
      </c>
      <c r="I104" s="8">
        <f>MATCH(A104,'GC-B cell original comparision'!$E$6:$E$237,0)</f>
        <v>43</v>
      </c>
    </row>
    <row r="105" spans="1:9">
      <c r="A105">
        <v>10434782</v>
      </c>
      <c r="B105">
        <v>5.9260231098860396</v>
      </c>
      <c r="C105">
        <v>3.7965490110365598</v>
      </c>
      <c r="D105" t="s">
        <v>1618</v>
      </c>
      <c r="E105" t="s">
        <v>1619</v>
      </c>
      <c r="F105" t="s">
        <v>1620</v>
      </c>
      <c r="G105" t="s">
        <v>2010</v>
      </c>
      <c r="I105" s="8" t="e">
        <f>MATCH(A105,'GC-B cell original comparision'!$E$6:$E$237,0)</f>
        <v>#N/A</v>
      </c>
    </row>
    <row r="106" spans="1:9">
      <c r="A106">
        <v>10560624</v>
      </c>
      <c r="B106">
        <v>5.9041454016498696</v>
      </c>
      <c r="C106">
        <v>3.6414670197147601</v>
      </c>
      <c r="D106" t="s">
        <v>1565</v>
      </c>
      <c r="E106" t="s">
        <v>1566</v>
      </c>
      <c r="F106" t="s">
        <v>1567</v>
      </c>
      <c r="G106" t="s">
        <v>2010</v>
      </c>
      <c r="I106" s="8" t="e">
        <f>MATCH(A106,'GC-B cell original comparision'!$E$6:$E$237,0)</f>
        <v>#N/A</v>
      </c>
    </row>
    <row r="107" spans="1:9">
      <c r="A107">
        <v>10600936</v>
      </c>
      <c r="B107">
        <v>5.8771349481603199</v>
      </c>
      <c r="C107">
        <v>1.0804265140245299</v>
      </c>
      <c r="D107" t="s">
        <v>1568</v>
      </c>
      <c r="E107" t="s">
        <v>1742</v>
      </c>
      <c r="F107" t="s">
        <v>1743</v>
      </c>
      <c r="G107" t="s">
        <v>2010</v>
      </c>
      <c r="I107" s="8">
        <f>MATCH(A107,'GC-B cell original comparision'!$E$6:$E$237,0)</f>
        <v>113</v>
      </c>
    </row>
    <row r="108" spans="1:9">
      <c r="A108">
        <v>10424349</v>
      </c>
      <c r="B108">
        <v>5.8517420539925604</v>
      </c>
      <c r="C108">
        <v>3.1550242321671602</v>
      </c>
      <c r="D108" t="s">
        <v>1744</v>
      </c>
      <c r="E108" t="s">
        <v>1745</v>
      </c>
      <c r="F108" t="s">
        <v>1746</v>
      </c>
      <c r="G108" t="s">
        <v>2010</v>
      </c>
      <c r="I108" s="8" t="e">
        <f>MATCH(A108,'GC-B cell original comparision'!$E$6:$E$237,0)</f>
        <v>#N/A</v>
      </c>
    </row>
    <row r="109" spans="1:9">
      <c r="A109">
        <v>10531752</v>
      </c>
      <c r="B109">
        <v>5.7817205640483698</v>
      </c>
      <c r="C109">
        <v>1.9230399436024099</v>
      </c>
      <c r="D109" t="s">
        <v>1747</v>
      </c>
      <c r="E109" t="s">
        <v>1748</v>
      </c>
      <c r="F109" t="s">
        <v>2039</v>
      </c>
      <c r="G109" t="s">
        <v>2010</v>
      </c>
      <c r="I109" s="8">
        <f>MATCH(A109,'GC-B cell original comparision'!$E$6:$E$237,0)</f>
        <v>66</v>
      </c>
    </row>
    <row r="110" spans="1:9">
      <c r="A110">
        <v>10414315</v>
      </c>
      <c r="B110">
        <v>5.7560922893917503</v>
      </c>
      <c r="C110">
        <v>4.12226593250183</v>
      </c>
      <c r="D110" t="s">
        <v>1749</v>
      </c>
      <c r="E110" t="s">
        <v>1750</v>
      </c>
      <c r="F110" t="s">
        <v>1751</v>
      </c>
      <c r="G110" t="s">
        <v>2010</v>
      </c>
      <c r="I110" s="8">
        <f>MATCH(A110,'GC-B cell original comparision'!$E$6:$E$237,0)</f>
        <v>82</v>
      </c>
    </row>
    <row r="111" spans="1:9">
      <c r="A111">
        <v>10523012</v>
      </c>
      <c r="B111">
        <v>5.7544706675243704</v>
      </c>
      <c r="C111">
        <v>3.1942282553091199</v>
      </c>
      <c r="D111" t="s">
        <v>1752</v>
      </c>
      <c r="E111" t="s">
        <v>1576</v>
      </c>
      <c r="F111" t="s">
        <v>1577</v>
      </c>
      <c r="G111" t="s">
        <v>2010</v>
      </c>
      <c r="I111" s="8">
        <f>MATCH(A111,'GC-B cell original comparision'!$E$6:$E$237,0)</f>
        <v>58</v>
      </c>
    </row>
    <row r="112" spans="1:9">
      <c r="A112">
        <v>10481931</v>
      </c>
      <c r="B112">
        <v>5.6940407492930003</v>
      </c>
      <c r="C112">
        <v>2.4709637659272898</v>
      </c>
      <c r="D112" t="s">
        <v>1578</v>
      </c>
      <c r="E112" t="s">
        <v>1579</v>
      </c>
      <c r="F112" t="s">
        <v>1580</v>
      </c>
      <c r="G112" t="s">
        <v>2010</v>
      </c>
      <c r="I112" s="8">
        <f>MATCH(A112,'GC-B cell original comparision'!$E$6:$E$237,0)</f>
        <v>48</v>
      </c>
    </row>
    <row r="113" spans="1:9">
      <c r="A113">
        <v>10357472</v>
      </c>
      <c r="B113">
        <v>5.6932576299809998</v>
      </c>
      <c r="C113">
        <v>1.4547444538040699</v>
      </c>
      <c r="D113" t="s">
        <v>1581</v>
      </c>
      <c r="E113" t="s">
        <v>1582</v>
      </c>
      <c r="F113" t="s">
        <v>1583</v>
      </c>
      <c r="G113" t="s">
        <v>2010</v>
      </c>
      <c r="I113" s="8" t="e">
        <f>MATCH(A113,'GC-B cell original comparision'!$E$6:$E$237,0)</f>
        <v>#N/A</v>
      </c>
    </row>
    <row r="114" spans="1:9">
      <c r="A114">
        <v>10344725</v>
      </c>
      <c r="B114">
        <v>5.5999686815016805</v>
      </c>
      <c r="C114">
        <v>0.283423908873215</v>
      </c>
      <c r="D114" t="s">
        <v>1584</v>
      </c>
      <c r="E114" t="s">
        <v>1585</v>
      </c>
      <c r="F114" t="s">
        <v>1586</v>
      </c>
      <c r="G114" t="s">
        <v>2010</v>
      </c>
      <c r="I114" s="8" t="e">
        <f>MATCH(A114,'GC-B cell original comparision'!$E$6:$E$237,0)</f>
        <v>#N/A</v>
      </c>
    </row>
    <row r="115" spans="1:9">
      <c r="A115">
        <v>10591412</v>
      </c>
      <c r="B115">
        <v>5.5697267454636004</v>
      </c>
      <c r="C115">
        <v>1.45999205155914</v>
      </c>
      <c r="D115" t="s">
        <v>1587</v>
      </c>
      <c r="E115" t="s">
        <v>1588</v>
      </c>
      <c r="F115" t="s">
        <v>1416</v>
      </c>
      <c r="G115" t="s">
        <v>2010</v>
      </c>
      <c r="I115" s="8">
        <f>MATCH(A115,'GC-B cell original comparision'!$E$6:$E$237,0)</f>
        <v>124</v>
      </c>
    </row>
    <row r="116" spans="1:9">
      <c r="A116">
        <v>10365845</v>
      </c>
      <c r="B116">
        <v>5.5687530617559</v>
      </c>
      <c r="C116">
        <v>2.0326171531708899</v>
      </c>
      <c r="D116" t="s">
        <v>1417</v>
      </c>
      <c r="E116" t="s">
        <v>1418</v>
      </c>
      <c r="F116" t="s">
        <v>1419</v>
      </c>
      <c r="G116" t="s">
        <v>2010</v>
      </c>
      <c r="I116" s="8" t="e">
        <f>MATCH(A116,'GC-B cell original comparision'!$E$6:$E$237,0)</f>
        <v>#N/A</v>
      </c>
    </row>
    <row r="117" spans="1:9">
      <c r="A117">
        <v>10366293</v>
      </c>
      <c r="B117">
        <v>5.5591268513723398</v>
      </c>
      <c r="C117">
        <v>0.75747973949716996</v>
      </c>
      <c r="D117" t="s">
        <v>1420</v>
      </c>
      <c r="E117" t="s">
        <v>1421</v>
      </c>
      <c r="F117" t="s">
        <v>1422</v>
      </c>
      <c r="G117" t="s">
        <v>2010</v>
      </c>
      <c r="I117" s="8">
        <f>MATCH(A117,'GC-B cell original comparision'!$E$6:$E$237,0)</f>
        <v>152</v>
      </c>
    </row>
    <row r="118" spans="1:9">
      <c r="A118">
        <v>10587639</v>
      </c>
      <c r="B118">
        <v>5.4386256308404297</v>
      </c>
      <c r="C118">
        <v>3.1363406321399299</v>
      </c>
      <c r="D118" t="s">
        <v>1423</v>
      </c>
      <c r="E118" t="s">
        <v>1424</v>
      </c>
      <c r="F118" t="s">
        <v>1425</v>
      </c>
      <c r="G118" t="s">
        <v>2010</v>
      </c>
      <c r="I118" s="8" t="e">
        <f>MATCH(A118,'GC-B cell original comparision'!$E$6:$E$237,0)</f>
        <v>#N/A</v>
      </c>
    </row>
    <row r="119" spans="1:9">
      <c r="A119">
        <v>10538939</v>
      </c>
      <c r="B119">
        <v>5.4162005737229304</v>
      </c>
      <c r="C119">
        <v>3.5248121772145602</v>
      </c>
      <c r="D119" t="s">
        <v>1426</v>
      </c>
      <c r="E119" t="s">
        <v>1427</v>
      </c>
      <c r="F119" t="s">
        <v>1428</v>
      </c>
      <c r="G119" t="s">
        <v>2010</v>
      </c>
      <c r="I119" s="8" t="e">
        <f>MATCH(A119,'GC-B cell original comparision'!$E$6:$E$237,0)</f>
        <v>#N/A</v>
      </c>
    </row>
    <row r="120" spans="1:9">
      <c r="A120">
        <v>10403023</v>
      </c>
      <c r="B120">
        <v>5.2691472448596501</v>
      </c>
      <c r="C120">
        <v>2.8293306343311699</v>
      </c>
      <c r="D120" t="s">
        <v>1913</v>
      </c>
      <c r="E120" t="s">
        <v>1914</v>
      </c>
      <c r="F120" t="s">
        <v>1915</v>
      </c>
      <c r="G120" t="s">
        <v>1916</v>
      </c>
      <c r="I120" s="8" t="e">
        <f>MATCH(A120,'GC-B cell original comparision'!$E$6:$E$237,0)</f>
        <v>#N/A</v>
      </c>
    </row>
    <row r="121" spans="1:9">
      <c r="A121">
        <v>10403036</v>
      </c>
      <c r="B121">
        <v>5.2663771391897596</v>
      </c>
      <c r="C121">
        <v>2.25225589652328</v>
      </c>
      <c r="D121" t="s">
        <v>1429</v>
      </c>
      <c r="E121" t="s">
        <v>1430</v>
      </c>
      <c r="F121" t="s">
        <v>1431</v>
      </c>
      <c r="G121" t="s">
        <v>1916</v>
      </c>
      <c r="I121" s="8" t="e">
        <f>MATCH(A121,'GC-B cell original comparision'!$E$6:$E$237,0)</f>
        <v>#N/A</v>
      </c>
    </row>
    <row r="122" spans="1:9">
      <c r="A122">
        <v>10587503</v>
      </c>
      <c r="B122">
        <v>5.2492518009470901</v>
      </c>
      <c r="C122">
        <v>0.437788853876038</v>
      </c>
      <c r="D122" t="s">
        <v>1432</v>
      </c>
      <c r="E122" t="s">
        <v>1604</v>
      </c>
      <c r="F122" t="s">
        <v>1605</v>
      </c>
      <c r="G122" t="s">
        <v>2010</v>
      </c>
      <c r="I122" s="8" t="e">
        <f>MATCH(A122,'GC-B cell original comparision'!$E$6:$E$237,0)</f>
        <v>#N/A</v>
      </c>
    </row>
    <row r="123" spans="1:9">
      <c r="A123">
        <v>10468311</v>
      </c>
      <c r="B123">
        <v>5.2364665496174201</v>
      </c>
      <c r="C123">
        <v>3.00203514547563</v>
      </c>
      <c r="D123" t="s">
        <v>1606</v>
      </c>
      <c r="E123" t="s">
        <v>1607</v>
      </c>
      <c r="F123" t="s">
        <v>1608</v>
      </c>
      <c r="G123" t="s">
        <v>2010</v>
      </c>
      <c r="I123" s="8" t="e">
        <f>MATCH(A123,'GC-B cell original comparision'!$E$6:$E$237,0)</f>
        <v>#N/A</v>
      </c>
    </row>
    <row r="124" spans="1:9">
      <c r="A124">
        <v>10606102</v>
      </c>
      <c r="B124">
        <v>5.2080376095270902</v>
      </c>
      <c r="C124">
        <v>3.7373793726877</v>
      </c>
      <c r="D124" t="s">
        <v>1609</v>
      </c>
      <c r="E124" t="s">
        <v>1610</v>
      </c>
      <c r="F124" t="s">
        <v>1611</v>
      </c>
      <c r="G124" t="s">
        <v>2010</v>
      </c>
      <c r="I124" s="8" t="e">
        <f>MATCH(A124,'GC-B cell original comparision'!$E$6:$E$237,0)</f>
        <v>#N/A</v>
      </c>
    </row>
    <row r="125" spans="1:9">
      <c r="A125">
        <v>10434802</v>
      </c>
      <c r="B125">
        <v>5.1949958050181397</v>
      </c>
      <c r="C125">
        <v>2.98603936301825</v>
      </c>
      <c r="D125" t="s">
        <v>1618</v>
      </c>
      <c r="E125" t="s">
        <v>1619</v>
      </c>
      <c r="F125" t="s">
        <v>1620</v>
      </c>
      <c r="G125" t="s">
        <v>2010</v>
      </c>
      <c r="I125" s="8" t="e">
        <f>MATCH(A125,'GC-B cell original comparision'!$E$6:$E$237,0)</f>
        <v>#N/A</v>
      </c>
    </row>
    <row r="126" spans="1:9">
      <c r="A126">
        <v>10345546</v>
      </c>
      <c r="B126">
        <v>5.1637781013589397</v>
      </c>
      <c r="C126">
        <v>1.35753251420957</v>
      </c>
      <c r="D126" t="s">
        <v>1612</v>
      </c>
      <c r="E126" t="s">
        <v>1613</v>
      </c>
      <c r="F126" t="s">
        <v>1614</v>
      </c>
      <c r="G126" t="s">
        <v>2010</v>
      </c>
      <c r="I126" s="8">
        <f>MATCH(A126,'GC-B cell original comparision'!$E$6:$E$237,0)</f>
        <v>139</v>
      </c>
    </row>
    <row r="127" spans="1:9">
      <c r="A127">
        <v>10546088</v>
      </c>
      <c r="B127">
        <v>5.1567072037194102</v>
      </c>
      <c r="C127">
        <v>0.44428640962514299</v>
      </c>
      <c r="D127" t="s">
        <v>1615</v>
      </c>
      <c r="E127" t="s">
        <v>1616</v>
      </c>
      <c r="F127" t="s">
        <v>2050</v>
      </c>
      <c r="G127" t="s">
        <v>2010</v>
      </c>
      <c r="I127" s="8">
        <f>MATCH(A127,'GC-B cell original comparision'!$E$6:$E$237,0)</f>
        <v>115</v>
      </c>
    </row>
    <row r="128" spans="1:9">
      <c r="A128">
        <v>10390780</v>
      </c>
      <c r="B128">
        <v>5.1323549836132898</v>
      </c>
      <c r="C128">
        <v>0.94401838019068796</v>
      </c>
      <c r="D128" t="s">
        <v>1617</v>
      </c>
      <c r="E128" t="s">
        <v>1448</v>
      </c>
      <c r="F128" t="s">
        <v>1449</v>
      </c>
      <c r="G128" t="s">
        <v>2010</v>
      </c>
      <c r="I128" s="8" t="e">
        <f>MATCH(A128,'GC-B cell original comparision'!$E$6:$E$237,0)</f>
        <v>#N/A</v>
      </c>
    </row>
    <row r="129" spans="1:9">
      <c r="A129">
        <v>10418842</v>
      </c>
      <c r="B129">
        <v>5.0990824782440001</v>
      </c>
      <c r="C129">
        <v>0.30186287547080698</v>
      </c>
      <c r="D129" t="s">
        <v>1450</v>
      </c>
      <c r="E129" t="s">
        <v>1451</v>
      </c>
      <c r="F129" t="s">
        <v>1452</v>
      </c>
      <c r="G129" t="s">
        <v>2010</v>
      </c>
      <c r="I129" s="8" t="e">
        <f>MATCH(A129,'GC-B cell original comparision'!$E$6:$E$237,0)</f>
        <v>#N/A</v>
      </c>
    </row>
    <row r="130" spans="1:9">
      <c r="A130">
        <v>10512226</v>
      </c>
      <c r="B130">
        <v>5.0367643705553498</v>
      </c>
      <c r="C130">
        <v>1.8751825424564199</v>
      </c>
      <c r="D130" t="s">
        <v>1453</v>
      </c>
      <c r="E130" t="s">
        <v>1454</v>
      </c>
      <c r="F130" t="s">
        <v>1455</v>
      </c>
      <c r="G130" t="s">
        <v>2010</v>
      </c>
      <c r="I130" s="8" t="e">
        <f>MATCH(A130,'GC-B cell original comparision'!$E$6:$E$237,0)</f>
        <v>#N/A</v>
      </c>
    </row>
    <row r="131" spans="1:9">
      <c r="A131">
        <v>10527920</v>
      </c>
      <c r="B131">
        <v>5.0327579201358699</v>
      </c>
      <c r="C131">
        <v>2.1607377837928299</v>
      </c>
      <c r="D131" t="s">
        <v>1456</v>
      </c>
      <c r="E131" t="s">
        <v>1457</v>
      </c>
      <c r="F131" t="s">
        <v>1458</v>
      </c>
      <c r="G131" t="s">
        <v>2010</v>
      </c>
      <c r="I131" s="8" t="e">
        <f>MATCH(A131,'GC-B cell original comparision'!$E$6:$E$237,0)</f>
        <v>#N/A</v>
      </c>
    </row>
    <row r="132" spans="1:9">
      <c r="A132">
        <v>10407211</v>
      </c>
      <c r="B132">
        <v>5.0303283724255197</v>
      </c>
      <c r="C132">
        <v>0.63916694650042305</v>
      </c>
      <c r="D132" t="s">
        <v>1459</v>
      </c>
      <c r="E132" t="s">
        <v>1460</v>
      </c>
      <c r="F132" t="s">
        <v>1461</v>
      </c>
      <c r="G132" t="s">
        <v>2010</v>
      </c>
      <c r="I132" s="8" t="e">
        <f>MATCH(A132,'GC-B cell original comparision'!$E$6:$E$237,0)</f>
        <v>#N/A</v>
      </c>
    </row>
    <row r="133" spans="1:9">
      <c r="A133">
        <v>10584710</v>
      </c>
      <c r="B133">
        <v>5.0147060090481004</v>
      </c>
      <c r="C133">
        <v>2.6384370386496698</v>
      </c>
      <c r="D133" t="s">
        <v>1462</v>
      </c>
      <c r="E133" t="s">
        <v>1463</v>
      </c>
      <c r="F133" t="s">
        <v>2040</v>
      </c>
      <c r="G133" t="s">
        <v>2010</v>
      </c>
      <c r="I133" s="8">
        <f>MATCH(A133,'GC-B cell original comparision'!$E$6:$E$237,0)</f>
        <v>70</v>
      </c>
    </row>
    <row r="134" spans="1:9">
      <c r="A134">
        <v>10435514</v>
      </c>
      <c r="B134">
        <v>4.9955452698980602</v>
      </c>
      <c r="C134">
        <v>1.2893499674900699</v>
      </c>
      <c r="D134" t="s">
        <v>1464</v>
      </c>
      <c r="E134" t="s">
        <v>1465</v>
      </c>
      <c r="F134" t="s">
        <v>1466</v>
      </c>
      <c r="G134" t="s">
        <v>2010</v>
      </c>
      <c r="I134" s="8" t="e">
        <f>MATCH(A134,'GC-B cell original comparision'!$E$6:$E$237,0)</f>
        <v>#N/A</v>
      </c>
    </row>
    <row r="135" spans="1:9">
      <c r="A135">
        <v>10416800</v>
      </c>
      <c r="B135">
        <v>4.9921054271970604</v>
      </c>
      <c r="C135">
        <v>0.65135129517715595</v>
      </c>
      <c r="D135" t="s">
        <v>1467</v>
      </c>
      <c r="E135" t="s">
        <v>1468</v>
      </c>
      <c r="F135" t="s">
        <v>1638</v>
      </c>
      <c r="G135" t="s">
        <v>2010</v>
      </c>
      <c r="I135" s="8" t="e">
        <f>MATCH(A135,'GC-B cell original comparision'!$E$6:$E$237,0)</f>
        <v>#N/A</v>
      </c>
    </row>
    <row r="136" spans="1:9">
      <c r="A136">
        <v>10526502</v>
      </c>
      <c r="B136">
        <v>4.8809992288639998</v>
      </c>
      <c r="C136">
        <v>1.5444548607573101</v>
      </c>
      <c r="D136" t="s">
        <v>1639</v>
      </c>
      <c r="E136" t="s">
        <v>1640</v>
      </c>
      <c r="F136" t="s">
        <v>2184</v>
      </c>
      <c r="G136" t="s">
        <v>2010</v>
      </c>
      <c r="I136" s="8">
        <f>MATCH(A136,'GC-B cell original comparision'!$E$6:$E$237,0)</f>
        <v>156</v>
      </c>
    </row>
    <row r="137" spans="1:9">
      <c r="A137">
        <v>10482762</v>
      </c>
      <c r="B137">
        <v>4.8620977025312699</v>
      </c>
      <c r="C137">
        <v>3.0006181306360098</v>
      </c>
      <c r="D137" t="s">
        <v>1641</v>
      </c>
      <c r="E137" t="s">
        <v>1642</v>
      </c>
      <c r="F137" t="s">
        <v>1643</v>
      </c>
      <c r="G137" t="s">
        <v>2010</v>
      </c>
      <c r="I137" s="8" t="e">
        <f>MATCH(A137,'GC-B cell original comparision'!$E$6:$E$237,0)</f>
        <v>#N/A</v>
      </c>
    </row>
    <row r="138" spans="1:9">
      <c r="A138">
        <v>10395908</v>
      </c>
      <c r="B138">
        <v>4.8573966369067101</v>
      </c>
      <c r="C138">
        <v>2.95851533670543</v>
      </c>
      <c r="D138" s="10" t="s">
        <v>2038</v>
      </c>
      <c r="E138" s="10"/>
      <c r="I138" s="8">
        <f>MATCH(A138,'GC-B cell original comparision'!$E$6:$E$237,0)</f>
        <v>109</v>
      </c>
    </row>
    <row r="139" spans="1:9">
      <c r="A139">
        <v>10399973</v>
      </c>
      <c r="B139">
        <v>4.8565694905767396</v>
      </c>
      <c r="C139">
        <v>2.3152670938409901</v>
      </c>
      <c r="D139" t="s">
        <v>1644</v>
      </c>
      <c r="E139" t="s">
        <v>1476</v>
      </c>
      <c r="F139" t="s">
        <v>1477</v>
      </c>
      <c r="G139" t="s">
        <v>2010</v>
      </c>
      <c r="I139" s="8" t="e">
        <f>MATCH(A139,'GC-B cell original comparision'!$E$6:$E$237,0)</f>
        <v>#N/A</v>
      </c>
    </row>
    <row r="140" spans="1:9">
      <c r="A140">
        <v>10497503</v>
      </c>
      <c r="B140">
        <v>4.82219882206424</v>
      </c>
      <c r="C140">
        <v>2.2615724265411501</v>
      </c>
      <c r="D140" t="s">
        <v>1478</v>
      </c>
      <c r="E140" t="s">
        <v>1479</v>
      </c>
      <c r="F140" t="s">
        <v>1480</v>
      </c>
      <c r="G140" t="s">
        <v>2010</v>
      </c>
      <c r="I140" s="8" t="e">
        <f>MATCH(A140,'GC-B cell original comparision'!$E$6:$E$237,0)</f>
        <v>#N/A</v>
      </c>
    </row>
    <row r="141" spans="1:9">
      <c r="A141">
        <v>10395277</v>
      </c>
      <c r="B141">
        <v>4.8221298634265697</v>
      </c>
      <c r="C141">
        <v>1.89491864086394</v>
      </c>
      <c r="D141" t="s">
        <v>1481</v>
      </c>
      <c r="E141" t="s">
        <v>1482</v>
      </c>
      <c r="F141" t="s">
        <v>1483</v>
      </c>
      <c r="G141" t="s">
        <v>2010</v>
      </c>
      <c r="I141" s="8">
        <f>MATCH(A141,'GC-B cell original comparision'!$E$6:$E$237,0)</f>
        <v>49</v>
      </c>
    </row>
    <row r="142" spans="1:9">
      <c r="A142">
        <v>10468309</v>
      </c>
      <c r="B142">
        <v>4.8057377376650301</v>
      </c>
      <c r="C142">
        <v>2.8995624642547102</v>
      </c>
      <c r="D142" t="s">
        <v>1484</v>
      </c>
      <c r="E142" t="s">
        <v>1485</v>
      </c>
      <c r="F142" t="s">
        <v>1652</v>
      </c>
      <c r="G142" t="s">
        <v>2060</v>
      </c>
      <c r="I142" s="8" t="e">
        <f>MATCH(A142,'GC-B cell original comparision'!$E$6:$E$237,0)</f>
        <v>#N/A</v>
      </c>
    </row>
    <row r="143" spans="1:9">
      <c r="A143">
        <v>10503410</v>
      </c>
      <c r="B143">
        <v>4.8038200964839399</v>
      </c>
      <c r="C143">
        <v>1.8333843487571</v>
      </c>
      <c r="D143" t="s">
        <v>1653</v>
      </c>
      <c r="E143" t="s">
        <v>1654</v>
      </c>
      <c r="F143" t="s">
        <v>1655</v>
      </c>
      <c r="G143" t="s">
        <v>2010</v>
      </c>
      <c r="I143" s="8" t="e">
        <f>MATCH(A143,'GC-B cell original comparision'!$E$6:$E$237,0)</f>
        <v>#N/A</v>
      </c>
    </row>
    <row r="144" spans="1:9">
      <c r="A144">
        <v>10421697</v>
      </c>
      <c r="B144">
        <v>4.7922812353241602</v>
      </c>
      <c r="C144">
        <v>2.1962626554867701</v>
      </c>
      <c r="D144" t="s">
        <v>1656</v>
      </c>
      <c r="E144" t="s">
        <v>1657</v>
      </c>
      <c r="F144" t="s">
        <v>1658</v>
      </c>
      <c r="G144" t="s">
        <v>2010</v>
      </c>
      <c r="I144" s="8" t="e">
        <f>MATCH(A144,'GC-B cell original comparision'!$E$6:$E$237,0)</f>
        <v>#N/A</v>
      </c>
    </row>
    <row r="145" spans="1:9">
      <c r="A145">
        <v>10474064</v>
      </c>
      <c r="B145">
        <v>4.7734119006354403</v>
      </c>
      <c r="C145">
        <v>2.5657294646597499</v>
      </c>
      <c r="D145" t="s">
        <v>1659</v>
      </c>
      <c r="E145" t="s">
        <v>1660</v>
      </c>
      <c r="F145" t="s">
        <v>1494</v>
      </c>
      <c r="G145" t="s">
        <v>2010</v>
      </c>
      <c r="I145" s="8" t="e">
        <f>MATCH(A145,'GC-B cell original comparision'!$E$6:$E$237,0)</f>
        <v>#N/A</v>
      </c>
    </row>
    <row r="146" spans="1:9">
      <c r="A146">
        <v>10530536</v>
      </c>
      <c r="B146">
        <v>4.76915098619628</v>
      </c>
      <c r="C146">
        <v>2.7132226455866002</v>
      </c>
      <c r="D146" t="s">
        <v>1495</v>
      </c>
      <c r="E146" t="s">
        <v>1496</v>
      </c>
      <c r="F146" t="s">
        <v>1497</v>
      </c>
      <c r="G146" t="s">
        <v>2010</v>
      </c>
      <c r="I146" s="8" t="e">
        <f>MATCH(A146,'GC-B cell original comparision'!$E$6:$E$237,0)</f>
        <v>#N/A</v>
      </c>
    </row>
    <row r="147" spans="1:9">
      <c r="A147">
        <v>10371770</v>
      </c>
      <c r="B147">
        <v>4.7402553787396302</v>
      </c>
      <c r="C147">
        <v>2.0985949353058202</v>
      </c>
      <c r="D147" t="s">
        <v>1498</v>
      </c>
      <c r="E147" t="s">
        <v>1499</v>
      </c>
      <c r="F147" t="s">
        <v>1500</v>
      </c>
      <c r="G147" t="s">
        <v>2010</v>
      </c>
      <c r="I147" s="8" t="e">
        <f>MATCH(A147,'GC-B cell original comparision'!$E$6:$E$237,0)</f>
        <v>#N/A</v>
      </c>
    </row>
    <row r="148" spans="1:9">
      <c r="A148">
        <v>10601328</v>
      </c>
      <c r="B148">
        <v>4.7320331972827603</v>
      </c>
      <c r="C148">
        <v>0.99686477026317999</v>
      </c>
      <c r="D148" t="s">
        <v>1501</v>
      </c>
      <c r="E148" t="s">
        <v>1502</v>
      </c>
      <c r="F148" t="s">
        <v>1334</v>
      </c>
      <c r="G148" t="s">
        <v>2010</v>
      </c>
      <c r="I148" s="8">
        <f>MATCH(A148,'GC-B cell original comparision'!$E$6:$E$237,0)</f>
        <v>119</v>
      </c>
    </row>
    <row r="149" spans="1:9">
      <c r="A149">
        <v>10354085</v>
      </c>
      <c r="B149">
        <v>4.7022322536208696</v>
      </c>
      <c r="C149">
        <v>2.04557911651932</v>
      </c>
      <c r="D149" t="s">
        <v>1335</v>
      </c>
      <c r="E149" t="s">
        <v>1336</v>
      </c>
      <c r="F149" t="s">
        <v>1337</v>
      </c>
      <c r="G149" t="s">
        <v>2010</v>
      </c>
      <c r="I149" s="8" t="e">
        <f>MATCH(A149,'GC-B cell original comparision'!$E$6:$E$237,0)</f>
        <v>#N/A</v>
      </c>
    </row>
    <row r="150" spans="1:9">
      <c r="A150">
        <v>10500610</v>
      </c>
      <c r="B150">
        <v>4.69703559140215</v>
      </c>
      <c r="C150">
        <v>0.68114334134627197</v>
      </c>
      <c r="D150" t="s">
        <v>1338</v>
      </c>
      <c r="E150" t="s">
        <v>1339</v>
      </c>
      <c r="F150" t="s">
        <v>1340</v>
      </c>
      <c r="G150" t="s">
        <v>2010</v>
      </c>
      <c r="I150" s="8" t="e">
        <f>MATCH(A150,'GC-B cell original comparision'!$E$6:$E$237,0)</f>
        <v>#N/A</v>
      </c>
    </row>
    <row r="151" spans="1:9">
      <c r="A151">
        <v>10603567</v>
      </c>
      <c r="B151">
        <v>4.6940207211939597</v>
      </c>
      <c r="C151">
        <v>1.65451710360099</v>
      </c>
      <c r="D151" t="s">
        <v>1341</v>
      </c>
      <c r="E151" t="s">
        <v>1342</v>
      </c>
      <c r="F151" t="s">
        <v>1343</v>
      </c>
      <c r="G151" t="s">
        <v>2010</v>
      </c>
      <c r="I151" s="8" t="e">
        <f>MATCH(A151,'GC-B cell original comparision'!$E$6:$E$237,0)</f>
        <v>#N/A</v>
      </c>
    </row>
    <row r="152" spans="1:9">
      <c r="A152">
        <v>10485607</v>
      </c>
      <c r="B152">
        <v>4.6481788760439899</v>
      </c>
      <c r="C152">
        <v>2.9070753667910099</v>
      </c>
      <c r="D152" t="s">
        <v>1734</v>
      </c>
      <c r="E152" t="s">
        <v>1735</v>
      </c>
      <c r="F152" t="s">
        <v>1736</v>
      </c>
      <c r="G152" t="s">
        <v>2010</v>
      </c>
      <c r="I152" s="8" t="e">
        <f>MATCH(A152,'GC-B cell original comparision'!$E$6:$E$237,0)</f>
        <v>#N/A</v>
      </c>
    </row>
    <row r="153" spans="1:9">
      <c r="A153">
        <v>10461765</v>
      </c>
      <c r="B153">
        <v>4.6320264677174103</v>
      </c>
      <c r="C153">
        <v>4.9268299201268304</v>
      </c>
      <c r="D153" t="s">
        <v>1344</v>
      </c>
      <c r="E153" t="s">
        <v>1345</v>
      </c>
      <c r="F153" t="s">
        <v>1346</v>
      </c>
      <c r="G153" t="s">
        <v>2010</v>
      </c>
      <c r="I153" s="8" t="e">
        <f>MATCH(A153,'GC-B cell original comparision'!$E$6:$E$237,0)</f>
        <v>#N/A</v>
      </c>
    </row>
    <row r="154" spans="1:9">
      <c r="A154">
        <v>10392415</v>
      </c>
      <c r="B154">
        <v>4.62868438673227</v>
      </c>
      <c r="C154">
        <v>0.38055475054674498</v>
      </c>
      <c r="D154" t="s">
        <v>1347</v>
      </c>
      <c r="E154" t="s">
        <v>1348</v>
      </c>
      <c r="F154" t="s">
        <v>1349</v>
      </c>
      <c r="G154" t="s">
        <v>2010</v>
      </c>
      <c r="I154" s="8">
        <f>MATCH(A154,'GC-B cell original comparision'!$E$6:$E$237,0)</f>
        <v>153</v>
      </c>
    </row>
    <row r="155" spans="1:9">
      <c r="A155">
        <v>10425207</v>
      </c>
      <c r="B155">
        <v>4.5688939378746998</v>
      </c>
      <c r="C155">
        <v>2.94248448555209</v>
      </c>
      <c r="D155" t="s">
        <v>1350</v>
      </c>
      <c r="E155" t="s">
        <v>1351</v>
      </c>
      <c r="F155" t="s">
        <v>1352</v>
      </c>
      <c r="G155" t="s">
        <v>2010</v>
      </c>
      <c r="I155" s="8" t="e">
        <f>MATCH(A155,'GC-B cell original comparision'!$E$6:$E$237,0)</f>
        <v>#N/A</v>
      </c>
    </row>
    <row r="156" spans="1:9">
      <c r="A156">
        <v>10474073</v>
      </c>
      <c r="B156">
        <v>4.5682206814504696</v>
      </c>
      <c r="C156">
        <v>2.3922077097203598</v>
      </c>
      <c r="D156" t="s">
        <v>1520</v>
      </c>
      <c r="E156" t="s">
        <v>1521</v>
      </c>
      <c r="F156" t="s">
        <v>1522</v>
      </c>
      <c r="G156" t="s">
        <v>2060</v>
      </c>
      <c r="I156" s="8" t="e">
        <f>MATCH(A156,'GC-B cell original comparision'!$E$6:$E$237,0)</f>
        <v>#N/A</v>
      </c>
    </row>
    <row r="157" spans="1:9">
      <c r="A157">
        <v>10399470</v>
      </c>
      <c r="B157">
        <v>4.5633610818793597</v>
      </c>
      <c r="C157">
        <v>1.7268718145142801</v>
      </c>
      <c r="D157" t="s">
        <v>1523</v>
      </c>
      <c r="E157" t="s">
        <v>1524</v>
      </c>
      <c r="F157" t="s">
        <v>1525</v>
      </c>
      <c r="G157" t="s">
        <v>2010</v>
      </c>
      <c r="I157" s="8" t="e">
        <f>MATCH(A157,'GC-B cell original comparision'!$E$6:$E$237,0)</f>
        <v>#N/A</v>
      </c>
    </row>
    <row r="158" spans="1:9">
      <c r="A158">
        <v>10555438</v>
      </c>
      <c r="B158">
        <v>4.5532792482237801</v>
      </c>
      <c r="C158">
        <v>2.6955375389802798</v>
      </c>
      <c r="D158" t="s">
        <v>1526</v>
      </c>
      <c r="E158" t="s">
        <v>1527</v>
      </c>
      <c r="F158" t="s">
        <v>1528</v>
      </c>
      <c r="G158" t="s">
        <v>2010</v>
      </c>
      <c r="I158" s="8" t="e">
        <f>MATCH(A158,'GC-B cell original comparision'!$E$6:$E$237,0)</f>
        <v>#N/A</v>
      </c>
    </row>
    <row r="159" spans="1:9">
      <c r="A159">
        <v>10442396</v>
      </c>
      <c r="B159">
        <v>4.5466025772532301</v>
      </c>
      <c r="C159">
        <v>3.1810706207428701</v>
      </c>
      <c r="D159" t="s">
        <v>1529</v>
      </c>
      <c r="E159" t="s">
        <v>1530</v>
      </c>
      <c r="F159" t="s">
        <v>1531</v>
      </c>
      <c r="G159" t="s">
        <v>2010</v>
      </c>
      <c r="I159" s="8" t="e">
        <f>MATCH(A159,'GC-B cell original comparision'!$E$6:$E$237,0)</f>
        <v>#N/A</v>
      </c>
    </row>
    <row r="160" spans="1:9">
      <c r="A160">
        <v>10423333</v>
      </c>
      <c r="B160">
        <v>4.5259573339198997</v>
      </c>
      <c r="C160">
        <v>1.8302010747983299</v>
      </c>
      <c r="D160" t="s">
        <v>1532</v>
      </c>
      <c r="E160" t="s">
        <v>1533</v>
      </c>
      <c r="F160" t="s">
        <v>1368</v>
      </c>
      <c r="G160" t="s">
        <v>2010</v>
      </c>
      <c r="I160" s="8" t="e">
        <f>MATCH(A160,'GC-B cell original comparision'!$E$6:$E$237,0)</f>
        <v>#N/A</v>
      </c>
    </row>
    <row r="161" spans="1:9">
      <c r="A161">
        <v>10416655</v>
      </c>
      <c r="B161">
        <v>4.4987873620125196</v>
      </c>
      <c r="C161">
        <v>1.97487478560331</v>
      </c>
      <c r="D161" t="s">
        <v>1369</v>
      </c>
      <c r="E161" t="s">
        <v>1370</v>
      </c>
      <c r="F161" t="s">
        <v>1371</v>
      </c>
      <c r="G161" t="s">
        <v>2010</v>
      </c>
      <c r="I161" s="8">
        <f>MATCH(A161,'GC-B cell original comparision'!$E$6:$E$237,0)</f>
        <v>101</v>
      </c>
    </row>
    <row r="162" spans="1:9">
      <c r="A162">
        <v>10364950</v>
      </c>
      <c r="B162">
        <v>4.4942823735730997</v>
      </c>
      <c r="C162">
        <v>1.6137702539963501</v>
      </c>
      <c r="D162" t="s">
        <v>1372</v>
      </c>
      <c r="E162" t="s">
        <v>1373</v>
      </c>
      <c r="F162" t="s">
        <v>1374</v>
      </c>
      <c r="G162" t="s">
        <v>2010</v>
      </c>
      <c r="I162" s="8" t="e">
        <f>MATCH(A162,'GC-B cell original comparision'!$E$6:$E$237,0)</f>
        <v>#N/A</v>
      </c>
    </row>
    <row r="163" spans="1:9">
      <c r="A163">
        <v>10535780</v>
      </c>
      <c r="B163">
        <v>4.4575162689670202</v>
      </c>
      <c r="C163">
        <v>0.55089337043952802</v>
      </c>
      <c r="D163" t="s">
        <v>1375</v>
      </c>
      <c r="E163" t="s">
        <v>1376</v>
      </c>
      <c r="F163" t="s">
        <v>1377</v>
      </c>
      <c r="G163" t="s">
        <v>2010</v>
      </c>
      <c r="I163" s="8" t="e">
        <f>MATCH(A163,'GC-B cell original comparision'!$E$6:$E$237,0)</f>
        <v>#N/A</v>
      </c>
    </row>
    <row r="164" spans="1:9">
      <c r="A164">
        <v>10530319</v>
      </c>
      <c r="B164">
        <v>4.4459050788531904</v>
      </c>
      <c r="C164">
        <v>2.8114026949114699</v>
      </c>
      <c r="D164" t="s">
        <v>1378</v>
      </c>
      <c r="E164" t="s">
        <v>1379</v>
      </c>
      <c r="F164" t="s">
        <v>1380</v>
      </c>
      <c r="G164" t="s">
        <v>2010</v>
      </c>
      <c r="I164" s="8" t="e">
        <f>MATCH(A164,'GC-B cell original comparision'!$E$6:$E$237,0)</f>
        <v>#N/A</v>
      </c>
    </row>
    <row r="165" spans="1:9">
      <c r="A165">
        <v>10392983</v>
      </c>
      <c r="B165">
        <v>4.3980789235036504</v>
      </c>
      <c r="C165">
        <v>1.92869592961095</v>
      </c>
      <c r="D165" t="s">
        <v>1381</v>
      </c>
      <c r="E165" t="s">
        <v>1382</v>
      </c>
      <c r="F165" t="s">
        <v>2182</v>
      </c>
      <c r="G165" t="s">
        <v>2010</v>
      </c>
      <c r="I165" s="8">
        <f>MATCH(A165,'GC-B cell original comparision'!$E$6:$E$237,0)</f>
        <v>150</v>
      </c>
    </row>
    <row r="166" spans="1:9">
      <c r="A166">
        <v>10513061</v>
      </c>
      <c r="B166">
        <v>4.3934757657942098</v>
      </c>
      <c r="C166">
        <v>0.54254330140162998</v>
      </c>
      <c r="D166" t="s">
        <v>1383</v>
      </c>
      <c r="E166" t="s">
        <v>1384</v>
      </c>
      <c r="F166" t="s">
        <v>1385</v>
      </c>
      <c r="G166" t="s">
        <v>2010</v>
      </c>
      <c r="I166" s="8" t="e">
        <f>MATCH(A166,'GC-B cell original comparision'!$E$6:$E$237,0)</f>
        <v>#N/A</v>
      </c>
    </row>
    <row r="167" spans="1:9">
      <c r="A167">
        <v>10353989</v>
      </c>
      <c r="B167">
        <v>4.3822611369800999</v>
      </c>
      <c r="C167">
        <v>2.6552827198503399</v>
      </c>
      <c r="D167" s="10" t="s">
        <v>2038</v>
      </c>
      <c r="E167" s="10"/>
      <c r="I167" s="8" t="e">
        <f>MATCH(A167,'GC-B cell original comparision'!$E$6:$E$237,0)</f>
        <v>#N/A</v>
      </c>
    </row>
    <row r="168" spans="1:9">
      <c r="A168">
        <v>10451710</v>
      </c>
      <c r="B168">
        <v>4.3533588481916903</v>
      </c>
      <c r="C168">
        <v>3.3160014592109901</v>
      </c>
      <c r="D168" t="s">
        <v>1552</v>
      </c>
      <c r="E168" t="s">
        <v>1553</v>
      </c>
      <c r="F168" t="s">
        <v>1554</v>
      </c>
      <c r="G168" t="s">
        <v>2010</v>
      </c>
      <c r="I168" s="8" t="e">
        <f>MATCH(A168,'GC-B cell original comparision'!$E$6:$E$237,0)</f>
        <v>#N/A</v>
      </c>
    </row>
    <row r="169" spans="1:9">
      <c r="A169">
        <v>10530163</v>
      </c>
      <c r="B169">
        <v>4.2564425479369099</v>
      </c>
      <c r="C169">
        <v>1.3646553724002599</v>
      </c>
      <c r="D169" t="s">
        <v>1555</v>
      </c>
      <c r="E169" t="s">
        <v>1556</v>
      </c>
      <c r="F169" t="s">
        <v>1557</v>
      </c>
      <c r="G169" t="s">
        <v>2010</v>
      </c>
      <c r="I169" s="8">
        <f>MATCH(A169,'GC-B cell original comparision'!$E$6:$E$237,0)</f>
        <v>103</v>
      </c>
    </row>
    <row r="170" spans="1:9">
      <c r="A170">
        <v>10579872</v>
      </c>
      <c r="B170">
        <v>4.2050792852347199</v>
      </c>
      <c r="C170">
        <v>2.3352901665670398</v>
      </c>
      <c r="D170" t="s">
        <v>1558</v>
      </c>
      <c r="E170" t="s">
        <v>1392</v>
      </c>
      <c r="F170" t="s">
        <v>1393</v>
      </c>
      <c r="G170" t="s">
        <v>2010</v>
      </c>
      <c r="I170" s="8" t="e">
        <f>MATCH(A170,'GC-B cell original comparision'!$E$6:$E$237,0)</f>
        <v>#N/A</v>
      </c>
    </row>
    <row r="171" spans="1:9">
      <c r="A171">
        <v>10549532</v>
      </c>
      <c r="B171">
        <v>4.1652824898761098</v>
      </c>
      <c r="C171">
        <v>2.0619606588943</v>
      </c>
      <c r="D171" s="10" t="s">
        <v>2038</v>
      </c>
      <c r="E171" s="10"/>
      <c r="I171" s="8" t="e">
        <f>MATCH(A171,'GC-B cell original comparision'!$E$6:$E$237,0)</f>
        <v>#N/A</v>
      </c>
    </row>
    <row r="172" spans="1:9">
      <c r="A172">
        <v>10444312</v>
      </c>
      <c r="B172">
        <v>4.1417180299440304</v>
      </c>
      <c r="C172">
        <v>1.1097126664175601</v>
      </c>
      <c r="D172" t="s">
        <v>1394</v>
      </c>
      <c r="E172" t="s">
        <v>1395</v>
      </c>
      <c r="F172" t="s">
        <v>1396</v>
      </c>
      <c r="G172" t="s">
        <v>2010</v>
      </c>
      <c r="I172" s="8">
        <f>MATCH(A172,'GC-B cell original comparision'!$E$6:$E$237,0)</f>
        <v>160</v>
      </c>
    </row>
    <row r="173" spans="1:9">
      <c r="A173">
        <v>10365833</v>
      </c>
      <c r="B173">
        <v>4.1414249094529296</v>
      </c>
      <c r="C173">
        <v>0.82975139125209896</v>
      </c>
      <c r="D173" t="s">
        <v>1397</v>
      </c>
      <c r="E173" t="s">
        <v>1398</v>
      </c>
      <c r="F173" t="s">
        <v>1399</v>
      </c>
      <c r="G173" t="s">
        <v>2010</v>
      </c>
      <c r="I173" s="8">
        <f>MATCH(A173,'GC-B cell original comparision'!$E$6:$E$237,0)</f>
        <v>158</v>
      </c>
    </row>
    <row r="174" spans="1:9">
      <c r="A174">
        <v>10561017</v>
      </c>
      <c r="B174">
        <v>4.1155826889749303</v>
      </c>
      <c r="C174">
        <v>1.0007831807985399</v>
      </c>
      <c r="D174" t="s">
        <v>1400</v>
      </c>
      <c r="E174" t="s">
        <v>1401</v>
      </c>
      <c r="F174" t="s">
        <v>1569</v>
      </c>
      <c r="G174" t="s">
        <v>2010</v>
      </c>
      <c r="I174" s="8" t="e">
        <f>MATCH(A174,'GC-B cell original comparision'!$E$6:$E$237,0)</f>
        <v>#N/A</v>
      </c>
    </row>
    <row r="175" spans="1:9">
      <c r="A175">
        <v>10594911</v>
      </c>
      <c r="B175">
        <v>4.1126795878655198</v>
      </c>
      <c r="C175">
        <v>1.2364346014204901</v>
      </c>
      <c r="D175" t="s">
        <v>1570</v>
      </c>
      <c r="E175" t="s">
        <v>1571</v>
      </c>
      <c r="F175" t="s">
        <v>1572</v>
      </c>
      <c r="G175" t="s">
        <v>2010</v>
      </c>
      <c r="I175" s="8">
        <f>MATCH(A175,'GC-B cell original comparision'!$E$6:$E$237,0)</f>
        <v>155</v>
      </c>
    </row>
    <row r="176" spans="1:9">
      <c r="A176">
        <v>10554370</v>
      </c>
      <c r="B176">
        <v>4.1079269939705698</v>
      </c>
      <c r="C176">
        <v>1.58069542927886</v>
      </c>
      <c r="D176" t="s">
        <v>1573</v>
      </c>
      <c r="E176" t="s">
        <v>1574</v>
      </c>
      <c r="F176" t="s">
        <v>1575</v>
      </c>
      <c r="G176" t="s">
        <v>2010</v>
      </c>
      <c r="I176" s="8" t="e">
        <f>MATCH(A176,'GC-B cell original comparision'!$E$6:$E$237,0)</f>
        <v>#N/A</v>
      </c>
    </row>
    <row r="177" spans="1:9">
      <c r="A177">
        <v>10498620</v>
      </c>
      <c r="B177">
        <v>4.0892475418766896</v>
      </c>
      <c r="C177">
        <v>1.6592841808107801</v>
      </c>
      <c r="D177" t="s">
        <v>1408</v>
      </c>
      <c r="E177" t="s">
        <v>1409</v>
      </c>
      <c r="F177" t="s">
        <v>1410</v>
      </c>
      <c r="G177" t="s">
        <v>2010</v>
      </c>
      <c r="I177" s="8" t="e">
        <f>MATCH(A177,'GC-B cell original comparision'!$E$6:$E$237,0)</f>
        <v>#N/A</v>
      </c>
    </row>
    <row r="178" spans="1:9">
      <c r="A178">
        <v>10416037</v>
      </c>
      <c r="B178">
        <v>4.0807472655497801</v>
      </c>
      <c r="C178">
        <v>3.1533643725387699</v>
      </c>
      <c r="D178" t="s">
        <v>1411</v>
      </c>
      <c r="E178" t="s">
        <v>1412</v>
      </c>
      <c r="F178" t="s">
        <v>1413</v>
      </c>
      <c r="G178" t="s">
        <v>2010</v>
      </c>
      <c r="I178" s="8" t="e">
        <f>MATCH(A178,'GC-B cell original comparision'!$E$6:$E$237,0)</f>
        <v>#N/A</v>
      </c>
    </row>
    <row r="179" spans="1:9">
      <c r="A179">
        <v>10566254</v>
      </c>
      <c r="B179">
        <v>4.0702329070802197</v>
      </c>
      <c r="C179">
        <v>1.26329261273152</v>
      </c>
      <c r="D179" t="s">
        <v>1414</v>
      </c>
      <c r="E179" t="s">
        <v>1415</v>
      </c>
      <c r="F179" t="s">
        <v>1246</v>
      </c>
      <c r="G179" t="s">
        <v>2010</v>
      </c>
      <c r="I179" s="8" t="e">
        <f>MATCH(A179,'GC-B cell original comparision'!$E$6:$E$237,0)</f>
        <v>#N/A</v>
      </c>
    </row>
    <row r="180" spans="1:9">
      <c r="A180">
        <v>10540283</v>
      </c>
      <c r="B180">
        <v>4.0582169124236698</v>
      </c>
      <c r="C180">
        <v>0.634108406736408</v>
      </c>
      <c r="D180" t="s">
        <v>1247</v>
      </c>
      <c r="E180" t="s">
        <v>1248</v>
      </c>
      <c r="F180" t="s">
        <v>1249</v>
      </c>
      <c r="G180" t="s">
        <v>2010</v>
      </c>
      <c r="I180" s="8" t="e">
        <f>MATCH(A180,'GC-B cell original comparision'!$E$6:$E$237,0)</f>
        <v>#N/A</v>
      </c>
    </row>
    <row r="181" spans="1:9">
      <c r="A181">
        <v>10592160</v>
      </c>
      <c r="B181">
        <v>4.0341822128764404</v>
      </c>
      <c r="C181">
        <v>1.0377587691554899</v>
      </c>
      <c r="D181" t="s">
        <v>1250</v>
      </c>
      <c r="E181" t="s">
        <v>1251</v>
      </c>
      <c r="F181" t="s">
        <v>1252</v>
      </c>
      <c r="G181" t="s">
        <v>2015</v>
      </c>
      <c r="I181" s="8" t="e">
        <f>MATCH(A181,'GC-B cell original comparision'!$E$6:$E$237,0)</f>
        <v>#N/A</v>
      </c>
    </row>
    <row r="182" spans="1:9">
      <c r="A182">
        <v>10353947</v>
      </c>
      <c r="B182">
        <v>4.0338452384584604</v>
      </c>
      <c r="C182">
        <v>1.6549528598057599</v>
      </c>
      <c r="D182" t="s">
        <v>1253</v>
      </c>
      <c r="E182" t="s">
        <v>1254</v>
      </c>
      <c r="F182" t="s">
        <v>1255</v>
      </c>
      <c r="G182" t="s">
        <v>2010</v>
      </c>
      <c r="I182" s="8" t="e">
        <f>MATCH(A182,'GC-B cell original comparision'!$E$6:$E$237,0)</f>
        <v>#N/A</v>
      </c>
    </row>
    <row r="183" spans="1:9">
      <c r="A183">
        <v>10425880</v>
      </c>
      <c r="B183">
        <v>4.0298625379282296</v>
      </c>
      <c r="C183">
        <v>1.88242929223483</v>
      </c>
      <c r="D183" t="s">
        <v>1256</v>
      </c>
      <c r="E183" t="s">
        <v>1257</v>
      </c>
      <c r="F183" t="s">
        <v>1258</v>
      </c>
      <c r="G183" t="s">
        <v>2010</v>
      </c>
      <c r="I183" s="8" t="e">
        <f>MATCH(A183,'GC-B cell original comparision'!$E$6:$E$237,0)</f>
        <v>#N/A</v>
      </c>
    </row>
    <row r="184" spans="1:9">
      <c r="A184">
        <v>10565315</v>
      </c>
      <c r="B184">
        <v>4.0207850864317303</v>
      </c>
      <c r="C184">
        <v>0.766339042367709</v>
      </c>
      <c r="D184" t="s">
        <v>1259</v>
      </c>
      <c r="E184" t="s">
        <v>1260</v>
      </c>
      <c r="F184" t="s">
        <v>1261</v>
      </c>
      <c r="G184" t="s">
        <v>2010</v>
      </c>
      <c r="I184" s="8" t="e">
        <f>MATCH(A184,'GC-B cell original comparision'!$E$6:$E$237,0)</f>
        <v>#N/A</v>
      </c>
    </row>
    <row r="185" spans="1:9">
      <c r="A185">
        <v>10363118</v>
      </c>
      <c r="B185">
        <v>4.0015369679072998</v>
      </c>
      <c r="C185">
        <v>1.4338606370520699</v>
      </c>
      <c r="D185" t="s">
        <v>1262</v>
      </c>
      <c r="E185" t="s">
        <v>1263</v>
      </c>
      <c r="F185" t="s">
        <v>1264</v>
      </c>
      <c r="G185" t="s">
        <v>2010</v>
      </c>
      <c r="I185" s="8" t="e">
        <f>MATCH(A185,'GC-B cell original comparision'!$E$6:$E$237,0)</f>
        <v>#N/A</v>
      </c>
    </row>
    <row r="186" spans="1:9">
      <c r="A186">
        <v>10600476</v>
      </c>
      <c r="B186">
        <v>3.9796465785112201</v>
      </c>
      <c r="C186">
        <v>1.4051226333026401</v>
      </c>
      <c r="D186" t="s">
        <v>1265</v>
      </c>
      <c r="E186" t="s">
        <v>1266</v>
      </c>
      <c r="F186" t="s">
        <v>1433</v>
      </c>
      <c r="G186" t="s">
        <v>2015</v>
      </c>
      <c r="I186" s="8">
        <f>MATCH(A186,'GC-B cell original comparision'!$E$6:$E$237,0)</f>
        <v>114</v>
      </c>
    </row>
    <row r="187" spans="1:9">
      <c r="A187">
        <v>10406254</v>
      </c>
      <c r="B187">
        <v>3.9611473445272698</v>
      </c>
      <c r="C187">
        <v>2.0128841341310899</v>
      </c>
      <c r="D187" t="s">
        <v>1434</v>
      </c>
      <c r="E187" t="s">
        <v>1435</v>
      </c>
      <c r="F187" t="s">
        <v>1436</v>
      </c>
      <c r="G187" t="s">
        <v>2010</v>
      </c>
      <c r="I187" s="8" t="e">
        <f>MATCH(A187,'GC-B cell original comparision'!$E$6:$E$237,0)</f>
        <v>#N/A</v>
      </c>
    </row>
    <row r="188" spans="1:9">
      <c r="A188">
        <v>10453512</v>
      </c>
      <c r="B188">
        <v>3.9593389807558199</v>
      </c>
      <c r="C188">
        <v>1.6144178670623801</v>
      </c>
      <c r="D188" t="s">
        <v>1478</v>
      </c>
      <c r="E188" t="s">
        <v>1479</v>
      </c>
      <c r="F188" t="s">
        <v>1480</v>
      </c>
      <c r="G188" t="s">
        <v>2010</v>
      </c>
      <c r="I188" s="8" t="e">
        <f>MATCH(A188,'GC-B cell original comparision'!$E$6:$E$237,0)</f>
        <v>#N/A</v>
      </c>
    </row>
    <row r="189" spans="1:9">
      <c r="A189">
        <v>10598586</v>
      </c>
      <c r="B189">
        <v>3.95427446648227</v>
      </c>
      <c r="C189">
        <v>0.49619228197304799</v>
      </c>
      <c r="D189" t="s">
        <v>1437</v>
      </c>
      <c r="E189" t="s">
        <v>1438</v>
      </c>
      <c r="F189" t="s">
        <v>1439</v>
      </c>
      <c r="G189" t="s">
        <v>2010</v>
      </c>
      <c r="I189" s="8" t="e">
        <f>MATCH(A189,'GC-B cell original comparision'!$E$6:$E$237,0)</f>
        <v>#N/A</v>
      </c>
    </row>
    <row r="190" spans="1:9">
      <c r="A190">
        <v>10349637</v>
      </c>
      <c r="B190">
        <v>3.9354921440378399</v>
      </c>
      <c r="C190">
        <v>1.73642342215012</v>
      </c>
      <c r="D190" t="s">
        <v>1440</v>
      </c>
      <c r="E190" t="s">
        <v>1441</v>
      </c>
      <c r="F190" t="s">
        <v>2064</v>
      </c>
      <c r="G190" t="s">
        <v>2010</v>
      </c>
      <c r="I190" s="8">
        <f>MATCH(A190,'GC-B cell original comparision'!$E$6:$E$237,0)</f>
        <v>157</v>
      </c>
    </row>
    <row r="191" spans="1:9">
      <c r="A191">
        <v>10351140</v>
      </c>
      <c r="B191">
        <v>3.9336447034692399</v>
      </c>
      <c r="C191">
        <v>0.78803180995014999</v>
      </c>
      <c r="D191" t="s">
        <v>1442</v>
      </c>
      <c r="E191" t="s">
        <v>1443</v>
      </c>
      <c r="F191" t="s">
        <v>1444</v>
      </c>
      <c r="G191" t="s">
        <v>2010</v>
      </c>
      <c r="I191" s="8" t="e">
        <f>MATCH(A191,'GC-B cell original comparision'!$E$6:$E$237,0)</f>
        <v>#N/A</v>
      </c>
    </row>
    <row r="192" spans="1:9">
      <c r="A192">
        <v>10376534</v>
      </c>
      <c r="B192">
        <v>3.9159683989646199</v>
      </c>
      <c r="C192">
        <v>0.60599409895851197</v>
      </c>
      <c r="D192" t="s">
        <v>1445</v>
      </c>
      <c r="E192" t="s">
        <v>1446</v>
      </c>
      <c r="F192" t="s">
        <v>1447</v>
      </c>
      <c r="G192" t="s">
        <v>2010</v>
      </c>
      <c r="I192" s="8">
        <f>MATCH(A192,'GC-B cell original comparision'!$E$6:$E$237,0)</f>
        <v>174</v>
      </c>
    </row>
    <row r="193" spans="1:9">
      <c r="A193">
        <v>10522182</v>
      </c>
      <c r="B193">
        <v>3.91527908395026</v>
      </c>
      <c r="C193">
        <v>0.58884055973538296</v>
      </c>
      <c r="D193" t="s">
        <v>1283</v>
      </c>
      <c r="E193" t="s">
        <v>1284</v>
      </c>
      <c r="F193" t="s">
        <v>1285</v>
      </c>
      <c r="G193" t="s">
        <v>2010</v>
      </c>
      <c r="I193" s="8" t="e">
        <f>MATCH(A193,'GC-B cell original comparision'!$E$6:$E$237,0)</f>
        <v>#N/A</v>
      </c>
    </row>
    <row r="194" spans="1:9">
      <c r="A194">
        <v>10388718</v>
      </c>
      <c r="B194">
        <v>3.91052610460661</v>
      </c>
      <c r="C194">
        <v>0.240390205576863</v>
      </c>
      <c r="D194" t="s">
        <v>1286</v>
      </c>
      <c r="E194" t="s">
        <v>1287</v>
      </c>
      <c r="F194" t="s">
        <v>1288</v>
      </c>
      <c r="G194" t="s">
        <v>2010</v>
      </c>
      <c r="I194" s="8">
        <f>MATCH(A194,'GC-B cell original comparision'!$E$6:$E$237,0)</f>
        <v>180</v>
      </c>
    </row>
    <row r="195" spans="1:9">
      <c r="A195">
        <v>10525542</v>
      </c>
      <c r="B195">
        <v>3.9058518348412599</v>
      </c>
      <c r="C195">
        <v>2.0021034613948001</v>
      </c>
      <c r="D195" t="s">
        <v>1289</v>
      </c>
      <c r="E195" t="s">
        <v>1290</v>
      </c>
      <c r="F195" t="s">
        <v>1291</v>
      </c>
      <c r="G195" t="s">
        <v>2010</v>
      </c>
      <c r="I195" s="8" t="e">
        <f>MATCH(A195,'GC-B cell original comparision'!$E$6:$E$237,0)</f>
        <v>#N/A</v>
      </c>
    </row>
    <row r="196" spans="1:9">
      <c r="A196">
        <v>10467907</v>
      </c>
      <c r="B196">
        <v>3.9012039140749901</v>
      </c>
      <c r="C196">
        <v>2.1515976106244401</v>
      </c>
      <c r="D196" t="s">
        <v>1292</v>
      </c>
      <c r="E196" t="s">
        <v>1293</v>
      </c>
      <c r="F196" t="s">
        <v>1294</v>
      </c>
      <c r="G196" t="s">
        <v>2010</v>
      </c>
      <c r="I196" s="8" t="e">
        <f>MATCH(A196,'GC-B cell original comparision'!$E$6:$E$237,0)</f>
        <v>#N/A</v>
      </c>
    </row>
    <row r="197" spans="1:9">
      <c r="A197">
        <v>10362904</v>
      </c>
      <c r="B197">
        <v>3.8931565934185</v>
      </c>
      <c r="C197">
        <v>1.8728508785597699</v>
      </c>
      <c r="D197" t="s">
        <v>1295</v>
      </c>
      <c r="E197" t="s">
        <v>1296</v>
      </c>
      <c r="F197" t="s">
        <v>1297</v>
      </c>
      <c r="G197" t="s">
        <v>2010</v>
      </c>
      <c r="I197" s="8">
        <f>MATCH(A197,'GC-B cell original comparision'!$E$6:$E$237,0)</f>
        <v>133</v>
      </c>
    </row>
    <row r="198" spans="1:9">
      <c r="A198">
        <v>10599826</v>
      </c>
      <c r="B198">
        <v>3.8687530329037099</v>
      </c>
      <c r="C198">
        <v>0.66835529598856303</v>
      </c>
      <c r="D198" t="s">
        <v>1298</v>
      </c>
      <c r="E198" t="s">
        <v>1299</v>
      </c>
      <c r="F198" t="s">
        <v>1300</v>
      </c>
      <c r="G198" t="s">
        <v>2010</v>
      </c>
      <c r="I198" s="8">
        <f>MATCH(A198,'GC-B cell original comparision'!$E$6:$E$237,0)</f>
        <v>187</v>
      </c>
    </row>
    <row r="199" spans="1:9">
      <c r="A199">
        <v>10523905</v>
      </c>
      <c r="B199">
        <v>3.8344465088132802</v>
      </c>
      <c r="C199">
        <v>0.68717917554680097</v>
      </c>
      <c r="D199" t="s">
        <v>1301</v>
      </c>
      <c r="E199" t="s">
        <v>1302</v>
      </c>
      <c r="F199" t="s">
        <v>1303</v>
      </c>
      <c r="G199" t="s">
        <v>2010</v>
      </c>
      <c r="I199" s="8">
        <f>MATCH(A199,'GC-B cell original comparision'!$E$6:$E$237,0)</f>
        <v>117</v>
      </c>
    </row>
    <row r="200" spans="1:9">
      <c r="A200">
        <v>10578916</v>
      </c>
      <c r="B200">
        <v>3.8302958093897699</v>
      </c>
      <c r="C200">
        <v>0.59625689575164498</v>
      </c>
      <c r="D200" t="s">
        <v>1304</v>
      </c>
      <c r="E200" t="s">
        <v>1469</v>
      </c>
      <c r="F200" t="s">
        <v>1470</v>
      </c>
      <c r="G200" t="s">
        <v>2010</v>
      </c>
      <c r="I200" s="8" t="e">
        <f>MATCH(A200,'GC-B cell original comparision'!$E$6:$E$237,0)</f>
        <v>#N/A</v>
      </c>
    </row>
    <row r="201" spans="1:9">
      <c r="A201">
        <v>10557342</v>
      </c>
      <c r="B201">
        <v>3.8208857773440399</v>
      </c>
      <c r="C201">
        <v>3.3729065738653401</v>
      </c>
      <c r="D201" t="s">
        <v>1471</v>
      </c>
      <c r="E201" t="s">
        <v>1472</v>
      </c>
      <c r="F201" t="s">
        <v>1473</v>
      </c>
      <c r="G201" t="s">
        <v>2010</v>
      </c>
      <c r="I201" s="8" t="e">
        <f>MATCH(A201,'GC-B cell original comparision'!$E$6:$E$237,0)</f>
        <v>#N/A</v>
      </c>
    </row>
    <row r="202" spans="1:9">
      <c r="A202">
        <v>10341707</v>
      </c>
      <c r="B202">
        <v>3.8190554642888501</v>
      </c>
      <c r="C202">
        <v>1.1057938792580599</v>
      </c>
      <c r="D202" s="10" t="s">
        <v>2038</v>
      </c>
      <c r="E202" s="10"/>
      <c r="I202" s="8" t="e">
        <f>MATCH(A202,'GC-B cell original comparision'!$E$6:$E$237,0)</f>
        <v>#N/A</v>
      </c>
    </row>
    <row r="203" spans="1:9">
      <c r="A203">
        <v>10510552</v>
      </c>
      <c r="B203">
        <v>3.8082574195574099</v>
      </c>
      <c r="C203">
        <v>2.13089004252494</v>
      </c>
      <c r="D203" t="s">
        <v>1474</v>
      </c>
      <c r="E203" t="s">
        <v>1475</v>
      </c>
      <c r="F203" t="s">
        <v>1311</v>
      </c>
      <c r="G203" t="s">
        <v>2010</v>
      </c>
      <c r="I203" s="8" t="e">
        <f>MATCH(A203,'GC-B cell original comparision'!$E$6:$E$237,0)</f>
        <v>#N/A</v>
      </c>
    </row>
    <row r="204" spans="1:9">
      <c r="A204">
        <v>10412466</v>
      </c>
      <c r="B204">
        <v>3.7907277284262899</v>
      </c>
      <c r="C204">
        <v>1.60675965262507</v>
      </c>
      <c r="D204" t="s">
        <v>1312</v>
      </c>
      <c r="E204" t="s">
        <v>1313</v>
      </c>
      <c r="F204" t="s">
        <v>1314</v>
      </c>
      <c r="G204" t="s">
        <v>2010</v>
      </c>
      <c r="I204" s="8" t="e">
        <f>MATCH(A204,'GC-B cell original comparision'!$E$6:$E$237,0)</f>
        <v>#N/A</v>
      </c>
    </row>
    <row r="205" spans="1:9">
      <c r="A205">
        <v>10482301</v>
      </c>
      <c r="B205">
        <v>3.7711407356711502</v>
      </c>
      <c r="C205">
        <v>1.8926996969202701</v>
      </c>
      <c r="D205" t="s">
        <v>1315</v>
      </c>
      <c r="E205" t="s">
        <v>1316</v>
      </c>
      <c r="F205" t="s">
        <v>1317</v>
      </c>
      <c r="G205" t="s">
        <v>2010</v>
      </c>
      <c r="I205" s="8" t="e">
        <f>MATCH(A205,'GC-B cell original comparision'!$E$6:$E$237,0)</f>
        <v>#N/A</v>
      </c>
    </row>
    <row r="206" spans="1:9">
      <c r="A206">
        <v>10467162</v>
      </c>
      <c r="B206">
        <v>3.7625422247279898</v>
      </c>
      <c r="C206">
        <v>1.5572523275218599</v>
      </c>
      <c r="D206" t="s">
        <v>1318</v>
      </c>
      <c r="E206" t="s">
        <v>1486</v>
      </c>
      <c r="F206" t="s">
        <v>1487</v>
      </c>
      <c r="G206" t="s">
        <v>2010</v>
      </c>
      <c r="I206" s="8" t="e">
        <f>MATCH(A206,'GC-B cell original comparision'!$E$6:$E$237,0)</f>
        <v>#N/A</v>
      </c>
    </row>
    <row r="207" spans="1:9">
      <c r="A207">
        <v>10341813</v>
      </c>
      <c r="B207">
        <v>3.7609435429208</v>
      </c>
      <c r="C207">
        <v>1.06581233614725</v>
      </c>
      <c r="D207" s="10" t="s">
        <v>2038</v>
      </c>
      <c r="E207" s="10"/>
      <c r="I207" s="8" t="e">
        <f>MATCH(A207,'GC-B cell original comparision'!$E$6:$E$237,0)</f>
        <v>#N/A</v>
      </c>
    </row>
    <row r="208" spans="1:9">
      <c r="A208">
        <v>10599696</v>
      </c>
      <c r="B208">
        <v>3.7432403964799001</v>
      </c>
      <c r="C208">
        <v>1.5848360316529</v>
      </c>
      <c r="D208" t="s">
        <v>1488</v>
      </c>
      <c r="E208" t="s">
        <v>1489</v>
      </c>
      <c r="F208" t="s">
        <v>1490</v>
      </c>
      <c r="G208" t="s">
        <v>2010</v>
      </c>
      <c r="I208" s="8" t="e">
        <f>MATCH(A208,'GC-B cell original comparision'!$E$6:$E$237,0)</f>
        <v>#N/A</v>
      </c>
    </row>
    <row r="209" spans="1:9">
      <c r="A209">
        <v>10458940</v>
      </c>
      <c r="B209">
        <v>3.7325642106538202</v>
      </c>
      <c r="C209">
        <v>1.92035188275155</v>
      </c>
      <c r="D209" t="s">
        <v>1491</v>
      </c>
      <c r="E209" t="s">
        <v>1492</v>
      </c>
      <c r="F209" t="s">
        <v>1493</v>
      </c>
      <c r="G209" t="s">
        <v>2010</v>
      </c>
      <c r="I209" s="8" t="e">
        <f>MATCH(A209,'GC-B cell original comparision'!$E$6:$E$237,0)</f>
        <v>#N/A</v>
      </c>
    </row>
    <row r="210" spans="1:9">
      <c r="A210">
        <v>10431948</v>
      </c>
      <c r="B210">
        <v>3.72024280762583</v>
      </c>
      <c r="C210">
        <v>0.18689148115617399</v>
      </c>
      <c r="D210" t="s">
        <v>1326</v>
      </c>
      <c r="E210" t="s">
        <v>1327</v>
      </c>
      <c r="F210" t="s">
        <v>1328</v>
      </c>
      <c r="G210" t="s">
        <v>2010</v>
      </c>
      <c r="I210" s="8">
        <f>MATCH(A210,'GC-B cell original comparision'!$E$6:$E$237,0)</f>
        <v>127</v>
      </c>
    </row>
    <row r="211" spans="1:9">
      <c r="A211">
        <v>10523923</v>
      </c>
      <c r="B211">
        <v>3.7146841938857298</v>
      </c>
      <c r="C211">
        <v>1.3583076802021199</v>
      </c>
      <c r="D211" t="s">
        <v>1329</v>
      </c>
      <c r="E211" t="s">
        <v>1330</v>
      </c>
      <c r="F211" t="s">
        <v>1331</v>
      </c>
      <c r="G211" t="s">
        <v>2010</v>
      </c>
      <c r="I211" s="8">
        <f>MATCH(A211,'GC-B cell original comparision'!$E$6:$E$237,0)</f>
        <v>126</v>
      </c>
    </row>
    <row r="212" spans="1:9">
      <c r="A212">
        <v>10522160</v>
      </c>
      <c r="B212">
        <v>3.68687843582105</v>
      </c>
      <c r="C212">
        <v>1.93453274792754</v>
      </c>
      <c r="D212" t="s">
        <v>1332</v>
      </c>
      <c r="E212" t="s">
        <v>1333</v>
      </c>
      <c r="F212" t="s">
        <v>1159</v>
      </c>
      <c r="G212" t="s">
        <v>2010</v>
      </c>
      <c r="I212" s="8" t="e">
        <f>MATCH(A212,'GC-B cell original comparision'!$E$6:$E$237,0)</f>
        <v>#N/A</v>
      </c>
    </row>
    <row r="213" spans="1:9">
      <c r="A213">
        <v>10455647</v>
      </c>
      <c r="B213">
        <v>3.6842219294598499</v>
      </c>
      <c r="C213">
        <v>2.63846193646605</v>
      </c>
      <c r="D213" t="s">
        <v>1160</v>
      </c>
      <c r="E213" t="s">
        <v>1161</v>
      </c>
      <c r="F213" t="s">
        <v>1162</v>
      </c>
      <c r="G213" t="s">
        <v>2010</v>
      </c>
      <c r="I213" s="8" t="e">
        <f>MATCH(A213,'GC-B cell original comparision'!$E$6:$E$237,0)</f>
        <v>#N/A</v>
      </c>
    </row>
    <row r="214" spans="1:9">
      <c r="A214">
        <v>10558454</v>
      </c>
      <c r="B214">
        <v>3.6814608332515002</v>
      </c>
      <c r="C214">
        <v>0.82673960281716896</v>
      </c>
      <c r="D214" t="s">
        <v>1163</v>
      </c>
      <c r="E214" t="s">
        <v>1164</v>
      </c>
      <c r="F214" t="s">
        <v>1165</v>
      </c>
      <c r="G214" t="s">
        <v>2010</v>
      </c>
      <c r="I214" s="8" t="e">
        <f>MATCH(A214,'GC-B cell original comparision'!$E$6:$E$237,0)</f>
        <v>#N/A</v>
      </c>
    </row>
    <row r="215" spans="1:9">
      <c r="A215">
        <v>10485445</v>
      </c>
      <c r="B215">
        <v>3.66639301994369</v>
      </c>
      <c r="C215">
        <v>0.47355953122038202</v>
      </c>
      <c r="D215" t="s">
        <v>1166</v>
      </c>
      <c r="E215" t="s">
        <v>1167</v>
      </c>
      <c r="F215" t="s">
        <v>1168</v>
      </c>
      <c r="G215" t="s">
        <v>2010</v>
      </c>
      <c r="I215" s="8" t="e">
        <f>MATCH(A215,'GC-B cell original comparision'!$E$6:$E$237,0)</f>
        <v>#N/A</v>
      </c>
    </row>
    <row r="216" spans="1:9">
      <c r="A216">
        <v>10414527</v>
      </c>
      <c r="B216">
        <v>3.65602591697886</v>
      </c>
      <c r="C216">
        <v>1.42606820451907</v>
      </c>
      <c r="D216" t="s">
        <v>1169</v>
      </c>
      <c r="E216" t="s">
        <v>1170</v>
      </c>
      <c r="F216" t="s">
        <v>1171</v>
      </c>
      <c r="G216" t="s">
        <v>2010</v>
      </c>
      <c r="I216" s="8" t="e">
        <f>MATCH(A216,'GC-B cell original comparision'!$E$6:$E$237,0)</f>
        <v>#N/A</v>
      </c>
    </row>
    <row r="217" spans="1:9">
      <c r="A217">
        <v>10416653</v>
      </c>
      <c r="B217">
        <v>3.6481753110533801</v>
      </c>
      <c r="C217">
        <v>0.97552043885454698</v>
      </c>
      <c r="D217" t="s">
        <v>1172</v>
      </c>
      <c r="E217" t="s">
        <v>1173</v>
      </c>
      <c r="F217" t="s">
        <v>1174</v>
      </c>
      <c r="G217" t="s">
        <v>2010</v>
      </c>
      <c r="I217" s="8" t="e">
        <f>MATCH(A217,'GC-B cell original comparision'!$E$6:$E$237,0)</f>
        <v>#N/A</v>
      </c>
    </row>
    <row r="218" spans="1:9">
      <c r="A218">
        <v>10504817</v>
      </c>
      <c r="B218">
        <v>3.6335076478268</v>
      </c>
      <c r="C218">
        <v>1.6467726251952099</v>
      </c>
      <c r="D218" t="s">
        <v>1175</v>
      </c>
      <c r="E218" t="s">
        <v>1176</v>
      </c>
      <c r="F218" t="s">
        <v>1177</v>
      </c>
      <c r="G218" t="s">
        <v>2010</v>
      </c>
      <c r="I218" s="8" t="e">
        <f>MATCH(A218,'GC-B cell original comparision'!$E$6:$E$237,0)</f>
        <v>#N/A</v>
      </c>
    </row>
    <row r="219" spans="1:9">
      <c r="A219">
        <v>10418702</v>
      </c>
      <c r="B219">
        <v>3.6239321449003401</v>
      </c>
      <c r="C219">
        <v>1.91401616682519</v>
      </c>
      <c r="D219" t="s">
        <v>1178</v>
      </c>
      <c r="E219" t="s">
        <v>1179</v>
      </c>
      <c r="F219" t="s">
        <v>1353</v>
      </c>
      <c r="G219" t="s">
        <v>2010</v>
      </c>
      <c r="I219" s="8" t="e">
        <f>MATCH(A219,'GC-B cell original comparision'!$E$6:$E$237,0)</f>
        <v>#N/A</v>
      </c>
    </row>
    <row r="220" spans="1:9">
      <c r="A220">
        <v>10461558</v>
      </c>
      <c r="B220">
        <v>3.6193350828844899</v>
      </c>
      <c r="C220">
        <v>0.27973028058669402</v>
      </c>
      <c r="D220" t="s">
        <v>1354</v>
      </c>
      <c r="E220" t="s">
        <v>1355</v>
      </c>
      <c r="F220" t="s">
        <v>1356</v>
      </c>
      <c r="G220" t="s">
        <v>2010</v>
      </c>
      <c r="I220" s="8" t="e">
        <f>MATCH(A220,'GC-B cell original comparision'!$E$6:$E$237,0)</f>
        <v>#N/A</v>
      </c>
    </row>
    <row r="221" spans="1:9">
      <c r="A221">
        <v>10505132</v>
      </c>
      <c r="B221">
        <v>3.61437082935239</v>
      </c>
      <c r="C221">
        <v>1.79774152070313</v>
      </c>
      <c r="D221" t="s">
        <v>1357</v>
      </c>
      <c r="E221" t="s">
        <v>1358</v>
      </c>
      <c r="F221" t="s">
        <v>1359</v>
      </c>
      <c r="G221" t="s">
        <v>2010</v>
      </c>
      <c r="I221" s="8" t="e">
        <f>MATCH(A221,'GC-B cell original comparision'!$E$6:$E$237,0)</f>
        <v>#N/A</v>
      </c>
    </row>
    <row r="222" spans="1:9">
      <c r="A222">
        <v>10372844</v>
      </c>
      <c r="B222">
        <v>3.5638357761467199</v>
      </c>
      <c r="C222">
        <v>0.89694318221269098</v>
      </c>
      <c r="D222" t="s">
        <v>1360</v>
      </c>
      <c r="E222" t="s">
        <v>1361</v>
      </c>
      <c r="F222" t="s">
        <v>1362</v>
      </c>
      <c r="G222" t="s">
        <v>2010</v>
      </c>
      <c r="I222" s="8" t="e">
        <f>MATCH(A222,'GC-B cell original comparision'!$E$6:$E$237,0)</f>
        <v>#N/A</v>
      </c>
    </row>
    <row r="223" spans="1:9">
      <c r="A223">
        <v>10418410</v>
      </c>
      <c r="B223">
        <v>3.5581473940341701</v>
      </c>
      <c r="C223">
        <v>1.7599585255990999</v>
      </c>
      <c r="D223" t="s">
        <v>1363</v>
      </c>
      <c r="E223" t="s">
        <v>1364</v>
      </c>
      <c r="F223" t="s">
        <v>1365</v>
      </c>
      <c r="G223" t="s">
        <v>2010</v>
      </c>
      <c r="I223" s="8" t="e">
        <f>MATCH(A223,'GC-B cell original comparision'!$E$6:$E$237,0)</f>
        <v>#N/A</v>
      </c>
    </row>
    <row r="224" spans="1:9">
      <c r="A224">
        <v>10372503</v>
      </c>
      <c r="B224">
        <v>3.55494196510393</v>
      </c>
      <c r="C224">
        <v>0.56057370462690304</v>
      </c>
      <c r="D224" t="s">
        <v>1366</v>
      </c>
      <c r="E224" t="s">
        <v>1367</v>
      </c>
      <c r="F224" t="s">
        <v>1195</v>
      </c>
      <c r="G224" t="s">
        <v>2010</v>
      </c>
      <c r="I224" s="8" t="e">
        <f>MATCH(A224,'GC-B cell original comparision'!$E$6:$E$237,0)</f>
        <v>#N/A</v>
      </c>
    </row>
    <row r="225" spans="1:9">
      <c r="A225">
        <v>10358845</v>
      </c>
      <c r="B225">
        <v>3.5517949229621202</v>
      </c>
      <c r="C225">
        <v>1.2183255231683201</v>
      </c>
      <c r="D225" t="s">
        <v>1196</v>
      </c>
      <c r="E225" t="s">
        <v>1197</v>
      </c>
      <c r="F225" t="s">
        <v>1198</v>
      </c>
      <c r="G225" t="s">
        <v>2060</v>
      </c>
      <c r="I225" s="8" t="e">
        <f>MATCH(A225,'GC-B cell original comparision'!$E$6:$E$237,0)</f>
        <v>#N/A</v>
      </c>
    </row>
    <row r="226" spans="1:9">
      <c r="A226">
        <v>10506603</v>
      </c>
      <c r="B226">
        <v>3.5493380180744198</v>
      </c>
      <c r="C226">
        <v>1.9020706924883299</v>
      </c>
      <c r="D226" t="s">
        <v>1199</v>
      </c>
      <c r="E226" t="s">
        <v>1200</v>
      </c>
      <c r="F226" t="s">
        <v>1201</v>
      </c>
      <c r="G226" t="s">
        <v>2010</v>
      </c>
      <c r="I226" s="8" t="e">
        <f>MATCH(A226,'GC-B cell original comparision'!$E$6:$E$237,0)</f>
        <v>#N/A</v>
      </c>
    </row>
    <row r="227" spans="1:9">
      <c r="A227">
        <v>10375980</v>
      </c>
      <c r="B227">
        <v>3.5289473902120601</v>
      </c>
      <c r="C227">
        <v>1.5142563609195401</v>
      </c>
      <c r="D227" t="s">
        <v>1202</v>
      </c>
      <c r="E227" t="s">
        <v>1203</v>
      </c>
      <c r="F227" t="s">
        <v>1204</v>
      </c>
      <c r="G227" t="s">
        <v>2010</v>
      </c>
      <c r="I227" s="8" t="e">
        <f>MATCH(A227,'GC-B cell original comparision'!$E$6:$E$237,0)</f>
        <v>#N/A</v>
      </c>
    </row>
    <row r="228" spans="1:9">
      <c r="A228">
        <v>10576946</v>
      </c>
      <c r="B228">
        <v>3.52857207073539</v>
      </c>
      <c r="C228">
        <v>0.215282240546466</v>
      </c>
      <c r="D228" t="s">
        <v>1205</v>
      </c>
      <c r="E228" t="s">
        <v>1206</v>
      </c>
      <c r="F228" t="s">
        <v>1207</v>
      </c>
      <c r="G228" t="s">
        <v>2010</v>
      </c>
      <c r="I228" s="8" t="e">
        <f>MATCH(A228,'GC-B cell original comparision'!$E$6:$E$237,0)</f>
        <v>#N/A</v>
      </c>
    </row>
    <row r="229" spans="1:9">
      <c r="A229">
        <v>10382136</v>
      </c>
      <c r="B229">
        <v>3.5063427268035898</v>
      </c>
      <c r="C229">
        <v>0.108012930386077</v>
      </c>
      <c r="D229" t="s">
        <v>1208</v>
      </c>
      <c r="E229" t="s">
        <v>1209</v>
      </c>
      <c r="F229" t="s">
        <v>1210</v>
      </c>
      <c r="G229" t="s">
        <v>2060</v>
      </c>
      <c r="I229" s="8">
        <f>MATCH(A229,'GC-B cell original comparision'!$E$6:$E$237,0)</f>
        <v>170</v>
      </c>
    </row>
    <row r="230" spans="1:9">
      <c r="A230">
        <v>10550935</v>
      </c>
      <c r="B230">
        <v>3.50599930006705</v>
      </c>
      <c r="C230">
        <v>0.72229796745853303</v>
      </c>
      <c r="D230" t="s">
        <v>1211</v>
      </c>
      <c r="E230" t="s">
        <v>1212</v>
      </c>
      <c r="F230" t="s">
        <v>1386</v>
      </c>
      <c r="G230" t="s">
        <v>2010</v>
      </c>
      <c r="I230" s="8">
        <f>MATCH(A230,'GC-B cell original comparision'!$E$6:$E$237,0)</f>
        <v>165</v>
      </c>
    </row>
    <row r="231" spans="1:9">
      <c r="A231">
        <v>10481711</v>
      </c>
      <c r="B231">
        <v>3.49858801282272</v>
      </c>
      <c r="C231">
        <v>0.17497674635195101</v>
      </c>
      <c r="D231" t="s">
        <v>1387</v>
      </c>
      <c r="E231" t="s">
        <v>1388</v>
      </c>
      <c r="F231" t="s">
        <v>1389</v>
      </c>
      <c r="G231" t="s">
        <v>2010</v>
      </c>
      <c r="I231" s="8" t="e">
        <f>MATCH(A231,'GC-B cell original comparision'!$E$6:$E$237,0)</f>
        <v>#N/A</v>
      </c>
    </row>
    <row r="232" spans="1:9">
      <c r="A232">
        <v>10534281</v>
      </c>
      <c r="B232">
        <v>3.4900476153393001</v>
      </c>
      <c r="C232">
        <v>1.04711324013514</v>
      </c>
      <c r="D232" t="s">
        <v>1390</v>
      </c>
      <c r="E232" t="s">
        <v>1391</v>
      </c>
      <c r="F232" t="s">
        <v>1219</v>
      </c>
      <c r="G232" t="s">
        <v>2010</v>
      </c>
      <c r="I232" s="8" t="e">
        <f>MATCH(A232,'GC-B cell original comparision'!$E$6:$E$237,0)</f>
        <v>#N/A</v>
      </c>
    </row>
    <row r="233" spans="1:9">
      <c r="A233">
        <v>10583320</v>
      </c>
      <c r="B233">
        <v>3.4872712321004902</v>
      </c>
      <c r="C233">
        <v>0.68351928649634797</v>
      </c>
      <c r="D233" t="s">
        <v>1220</v>
      </c>
      <c r="E233" t="s">
        <v>1221</v>
      </c>
      <c r="F233" t="s">
        <v>1222</v>
      </c>
      <c r="G233" t="s">
        <v>2010</v>
      </c>
      <c r="I233" s="8" t="e">
        <f>MATCH(A233,'GC-B cell original comparision'!$E$6:$E$237,0)</f>
        <v>#N/A</v>
      </c>
    </row>
    <row r="234" spans="1:9">
      <c r="A234">
        <v>10352448</v>
      </c>
      <c r="B234">
        <v>3.4698356361835998</v>
      </c>
      <c r="C234">
        <v>2.2089604974242198</v>
      </c>
      <c r="D234" t="s">
        <v>1223</v>
      </c>
      <c r="E234" t="s">
        <v>1224</v>
      </c>
      <c r="F234" t="s">
        <v>1225</v>
      </c>
      <c r="G234" t="s">
        <v>2010</v>
      </c>
      <c r="I234" s="8" t="e">
        <f>MATCH(A234,'GC-B cell original comparision'!$E$6:$E$237,0)</f>
        <v>#N/A</v>
      </c>
    </row>
    <row r="235" spans="1:9">
      <c r="A235">
        <v>10454286</v>
      </c>
      <c r="B235">
        <v>3.4626216307737798</v>
      </c>
      <c r="C235">
        <v>1.73146674067298</v>
      </c>
      <c r="D235" t="s">
        <v>1226</v>
      </c>
      <c r="E235" t="s">
        <v>1227</v>
      </c>
      <c r="F235" t="s">
        <v>1402</v>
      </c>
      <c r="G235" t="s">
        <v>2010</v>
      </c>
      <c r="I235" s="8" t="e">
        <f>MATCH(A235,'GC-B cell original comparision'!$E$6:$E$237,0)</f>
        <v>#N/A</v>
      </c>
    </row>
    <row r="236" spans="1:9">
      <c r="A236">
        <v>10345550</v>
      </c>
      <c r="B236">
        <v>3.4602313902761099</v>
      </c>
      <c r="C236">
        <v>0.43999625296795303</v>
      </c>
      <c r="D236" t="s">
        <v>1612</v>
      </c>
      <c r="E236" t="s">
        <v>1613</v>
      </c>
      <c r="F236" t="s">
        <v>1614</v>
      </c>
      <c r="G236" t="s">
        <v>2010</v>
      </c>
      <c r="I236" s="8">
        <f>MATCH(A236,'GC-B cell original comparision'!$E$6:$E$237,0)</f>
        <v>185</v>
      </c>
    </row>
    <row r="237" spans="1:9">
      <c r="A237">
        <v>10499035</v>
      </c>
      <c r="B237">
        <v>3.4598703246683198</v>
      </c>
      <c r="C237">
        <v>0.90132752728285304</v>
      </c>
      <c r="D237" t="s">
        <v>1403</v>
      </c>
      <c r="E237" t="s">
        <v>1404</v>
      </c>
      <c r="F237" t="s">
        <v>1405</v>
      </c>
      <c r="G237" t="s">
        <v>2010</v>
      </c>
      <c r="I237" s="8">
        <f>MATCH(A237,'GC-B cell original comparision'!$E$6:$E$237,0)</f>
        <v>177</v>
      </c>
    </row>
    <row r="238" spans="1:9">
      <c r="A238">
        <v>10362245</v>
      </c>
      <c r="B238">
        <v>3.4470824177331001</v>
      </c>
      <c r="C238">
        <v>0.68518171117712001</v>
      </c>
      <c r="D238" t="s">
        <v>1406</v>
      </c>
      <c r="E238" t="s">
        <v>1407</v>
      </c>
      <c r="F238" t="s">
        <v>1235</v>
      </c>
      <c r="G238" t="s">
        <v>2010</v>
      </c>
      <c r="I238" s="8" t="e">
        <f>MATCH(A238,'GC-B cell original comparision'!$E$6:$E$237,0)</f>
        <v>#N/A</v>
      </c>
    </row>
    <row r="239" spans="1:9">
      <c r="A239">
        <v>10362171</v>
      </c>
      <c r="B239">
        <v>3.4255722192123099</v>
      </c>
      <c r="C239">
        <v>2.7580420370877499</v>
      </c>
      <c r="D239" t="s">
        <v>1236</v>
      </c>
      <c r="E239" t="s">
        <v>1237</v>
      </c>
      <c r="F239" t="s">
        <v>1238</v>
      </c>
      <c r="G239" t="s">
        <v>2010</v>
      </c>
      <c r="I239" s="8" t="e">
        <f>MATCH(A239,'GC-B cell original comparision'!$E$6:$E$237,0)</f>
        <v>#N/A</v>
      </c>
    </row>
    <row r="240" spans="1:9">
      <c r="A240">
        <v>10414514</v>
      </c>
      <c r="B240">
        <v>3.4061275431639699</v>
      </c>
      <c r="C240">
        <v>1.0876319431800401</v>
      </c>
      <c r="D240" t="s">
        <v>1239</v>
      </c>
      <c r="E240" t="s">
        <v>1240</v>
      </c>
      <c r="F240" t="s">
        <v>1241</v>
      </c>
      <c r="G240" t="s">
        <v>2010</v>
      </c>
      <c r="I240" s="8" t="e">
        <f>MATCH(A240,'GC-B cell original comparision'!$E$6:$E$237,0)</f>
        <v>#N/A</v>
      </c>
    </row>
    <row r="241" spans="1:9">
      <c r="A241">
        <v>10408741</v>
      </c>
      <c r="B241">
        <v>3.3999555164974899</v>
      </c>
      <c r="C241">
        <v>1.31842296024682</v>
      </c>
      <c r="D241" t="s">
        <v>1242</v>
      </c>
      <c r="E241" t="s">
        <v>1243</v>
      </c>
      <c r="F241" t="s">
        <v>1244</v>
      </c>
      <c r="G241" t="s">
        <v>2010</v>
      </c>
      <c r="I241" s="8" t="e">
        <f>MATCH(A241,'GC-B cell original comparision'!$E$6:$E$237,0)</f>
        <v>#N/A</v>
      </c>
    </row>
    <row r="242" spans="1:9">
      <c r="A242">
        <v>10385455</v>
      </c>
      <c r="B242">
        <v>3.3822607072245399</v>
      </c>
      <c r="C242">
        <v>0.68684299579411301</v>
      </c>
      <c r="D242" t="s">
        <v>1245</v>
      </c>
      <c r="E242" t="s">
        <v>1071</v>
      </c>
      <c r="F242" t="s">
        <v>1072</v>
      </c>
      <c r="G242" t="s">
        <v>2010</v>
      </c>
      <c r="I242" s="8">
        <f>MATCH(A242,'GC-B cell original comparision'!$E$6:$E$237,0)</f>
        <v>190</v>
      </c>
    </row>
    <row r="243" spans="1:9">
      <c r="A243">
        <v>10471904</v>
      </c>
      <c r="B243">
        <v>3.35437631297961</v>
      </c>
      <c r="C243">
        <v>1.2272935247093599</v>
      </c>
      <c r="D243" t="s">
        <v>1073</v>
      </c>
      <c r="E243" t="s">
        <v>1074</v>
      </c>
      <c r="F243" t="s">
        <v>1075</v>
      </c>
      <c r="G243" t="s">
        <v>2010</v>
      </c>
      <c r="I243" s="8" t="e">
        <f>MATCH(A243,'GC-B cell original comparision'!$E$6:$E$237,0)</f>
        <v>#N/A</v>
      </c>
    </row>
    <row r="244" spans="1:9">
      <c r="A244">
        <v>10482181</v>
      </c>
      <c r="B244">
        <v>3.3360791068209901</v>
      </c>
      <c r="C244">
        <v>1.55815034739979</v>
      </c>
      <c r="D244" t="s">
        <v>1076</v>
      </c>
      <c r="E244" t="s">
        <v>1077</v>
      </c>
      <c r="F244" t="s">
        <v>1078</v>
      </c>
      <c r="G244" t="s">
        <v>2010</v>
      </c>
      <c r="I244" s="8" t="e">
        <f>MATCH(A244,'GC-B cell original comparision'!$E$6:$E$237,0)</f>
        <v>#N/A</v>
      </c>
    </row>
    <row r="245" spans="1:9">
      <c r="A245">
        <v>10441620</v>
      </c>
      <c r="B245">
        <v>3.3283762978770701</v>
      </c>
      <c r="C245">
        <v>1.2467411001992801</v>
      </c>
      <c r="D245" t="s">
        <v>1079</v>
      </c>
      <c r="E245" t="s">
        <v>1080</v>
      </c>
      <c r="F245" t="s">
        <v>1081</v>
      </c>
      <c r="G245" t="s">
        <v>2010</v>
      </c>
      <c r="I245" s="8" t="e">
        <f>MATCH(A245,'GC-B cell original comparision'!$E$6:$E$237,0)</f>
        <v>#N/A</v>
      </c>
    </row>
    <row r="246" spans="1:9">
      <c r="A246">
        <v>10422598</v>
      </c>
      <c r="B246">
        <v>3.31209118797493</v>
      </c>
      <c r="C246">
        <v>0.38908377360089802</v>
      </c>
      <c r="D246" t="s">
        <v>1082</v>
      </c>
      <c r="E246" t="s">
        <v>1083</v>
      </c>
      <c r="F246" t="s">
        <v>1084</v>
      </c>
      <c r="G246" t="s">
        <v>2010</v>
      </c>
      <c r="I246" s="8" t="e">
        <f>MATCH(A246,'GC-B cell original comparision'!$E$6:$E$237,0)</f>
        <v>#N/A</v>
      </c>
    </row>
    <row r="247" spans="1:9">
      <c r="A247">
        <v>10523190</v>
      </c>
      <c r="B247">
        <v>3.2998885758957899</v>
      </c>
      <c r="C247">
        <v>0.440050796064829</v>
      </c>
      <c r="D247" t="s">
        <v>1085</v>
      </c>
      <c r="E247" t="s">
        <v>1086</v>
      </c>
      <c r="F247" t="s">
        <v>1087</v>
      </c>
      <c r="G247" t="s">
        <v>2010</v>
      </c>
      <c r="I247" s="8">
        <f>MATCH(A247,'GC-B cell original comparision'!$E$6:$E$237,0)</f>
        <v>201</v>
      </c>
    </row>
    <row r="248" spans="1:9">
      <c r="A248">
        <v>10520965</v>
      </c>
      <c r="B248">
        <v>3.2939454632252398</v>
      </c>
      <c r="C248">
        <v>0.252125396358023</v>
      </c>
      <c r="D248" t="s">
        <v>1088</v>
      </c>
      <c r="E248" t="s">
        <v>1089</v>
      </c>
      <c r="F248" t="s">
        <v>1267</v>
      </c>
      <c r="G248" t="s">
        <v>2010</v>
      </c>
      <c r="I248" s="8" t="e">
        <f>MATCH(A248,'GC-B cell original comparision'!$E$6:$E$237,0)</f>
        <v>#N/A</v>
      </c>
    </row>
    <row r="249" spans="1:9">
      <c r="A249">
        <v>10599612</v>
      </c>
      <c r="B249">
        <v>3.2873074268989102</v>
      </c>
      <c r="C249">
        <v>0.47607761124295001</v>
      </c>
      <c r="D249" t="s">
        <v>1268</v>
      </c>
      <c r="E249" t="s">
        <v>1269</v>
      </c>
      <c r="F249" t="s">
        <v>1270</v>
      </c>
      <c r="G249" t="s">
        <v>2010</v>
      </c>
      <c r="I249" s="8">
        <f>MATCH(A249,'GC-B cell original comparision'!$E$6:$E$237,0)</f>
        <v>100</v>
      </c>
    </row>
    <row r="250" spans="1:9">
      <c r="A250">
        <v>10396030</v>
      </c>
      <c r="B250">
        <v>3.2799824993064499</v>
      </c>
      <c r="C250">
        <v>1.05121612839851</v>
      </c>
      <c r="D250" t="s">
        <v>1271</v>
      </c>
      <c r="E250" t="s">
        <v>1272</v>
      </c>
      <c r="F250" t="s">
        <v>2155</v>
      </c>
      <c r="G250" t="s">
        <v>2010</v>
      </c>
      <c r="I250" s="8">
        <f>MATCH(A250,'GC-B cell original comparision'!$E$6:$E$237,0)</f>
        <v>75</v>
      </c>
    </row>
    <row r="251" spans="1:9">
      <c r="A251">
        <v>10515090</v>
      </c>
      <c r="B251">
        <v>3.2495242057839699</v>
      </c>
      <c r="C251">
        <v>1.58409595504135</v>
      </c>
      <c r="D251" t="s">
        <v>1273</v>
      </c>
      <c r="E251" t="s">
        <v>1274</v>
      </c>
      <c r="F251" t="s">
        <v>2048</v>
      </c>
      <c r="G251" t="s">
        <v>2010</v>
      </c>
      <c r="I251" s="8" t="e">
        <f>MATCH(A251,'GC-B cell original comparision'!$E$6:$E$237,0)</f>
        <v>#N/A</v>
      </c>
    </row>
    <row r="252" spans="1:9">
      <c r="A252">
        <v>10595831</v>
      </c>
      <c r="B252">
        <v>3.2399082932794401</v>
      </c>
      <c r="C252">
        <v>1.11320285096172</v>
      </c>
      <c r="D252" t="s">
        <v>1275</v>
      </c>
      <c r="E252" t="s">
        <v>1276</v>
      </c>
      <c r="F252" t="s">
        <v>1277</v>
      </c>
      <c r="G252" t="s">
        <v>2010</v>
      </c>
      <c r="I252" s="8" t="e">
        <f>MATCH(A252,'GC-B cell original comparision'!$E$6:$E$237,0)</f>
        <v>#N/A</v>
      </c>
    </row>
    <row r="253" spans="1:9">
      <c r="A253">
        <v>10608685</v>
      </c>
      <c r="B253">
        <v>3.2378895965786101</v>
      </c>
      <c r="C253">
        <v>0.81808393561064696</v>
      </c>
      <c r="D253" s="10" t="s">
        <v>2038</v>
      </c>
      <c r="E253" s="10"/>
      <c r="I253" s="8" t="e">
        <f>MATCH(A253,'GC-B cell original comparision'!$E$6:$E$237,0)</f>
        <v>#N/A</v>
      </c>
    </row>
    <row r="254" spans="1:9">
      <c r="A254">
        <v>10465804</v>
      </c>
      <c r="B254">
        <v>3.2308508844191701</v>
      </c>
      <c r="C254">
        <v>0.77315630562209503</v>
      </c>
      <c r="D254" t="s">
        <v>1278</v>
      </c>
      <c r="E254" t="s">
        <v>1279</v>
      </c>
      <c r="F254" t="s">
        <v>1280</v>
      </c>
      <c r="G254" t="s">
        <v>2010</v>
      </c>
      <c r="I254" s="8" t="e">
        <f>MATCH(A254,'GC-B cell original comparision'!$E$6:$E$237,0)</f>
        <v>#N/A</v>
      </c>
    </row>
    <row r="255" spans="1:9">
      <c r="A255">
        <v>10428232</v>
      </c>
      <c r="B255">
        <v>3.2206279808521101</v>
      </c>
      <c r="C255">
        <v>0.558804520518701</v>
      </c>
      <c r="D255" t="s">
        <v>1281</v>
      </c>
      <c r="E255" t="s">
        <v>1282</v>
      </c>
      <c r="F255" t="s">
        <v>1104</v>
      </c>
      <c r="G255" t="s">
        <v>2010</v>
      </c>
      <c r="I255" s="8" t="e">
        <f>MATCH(A255,'GC-B cell original comparision'!$E$6:$E$237,0)</f>
        <v>#N/A</v>
      </c>
    </row>
    <row r="256" spans="1:9">
      <c r="A256">
        <v>10447417</v>
      </c>
      <c r="B256">
        <v>3.2192692356411401</v>
      </c>
      <c r="C256">
        <v>1.2752255413443001</v>
      </c>
      <c r="D256" t="s">
        <v>1105</v>
      </c>
      <c r="E256" t="s">
        <v>1106</v>
      </c>
      <c r="F256" t="s">
        <v>1107</v>
      </c>
      <c r="G256" t="s">
        <v>2010</v>
      </c>
      <c r="I256" s="8">
        <f>MATCH(A256,'GC-B cell original comparision'!$E$6:$E$237,0)</f>
        <v>131</v>
      </c>
    </row>
    <row r="257" spans="1:9">
      <c r="A257">
        <v>10551347</v>
      </c>
      <c r="B257">
        <v>3.21890295004073</v>
      </c>
      <c r="C257">
        <v>0.57105253348584994</v>
      </c>
      <c r="D257" t="s">
        <v>1108</v>
      </c>
      <c r="E257" t="s">
        <v>1109</v>
      </c>
      <c r="F257" t="s">
        <v>1110</v>
      </c>
      <c r="G257" t="s">
        <v>2010</v>
      </c>
      <c r="I257" s="8" t="e">
        <f>MATCH(A257,'GC-B cell original comparision'!$E$6:$E$237,0)</f>
        <v>#N/A</v>
      </c>
    </row>
    <row r="258" spans="1:9">
      <c r="A258">
        <v>10522976</v>
      </c>
      <c r="B258">
        <v>3.2079625284436601</v>
      </c>
      <c r="C258">
        <v>1.5931940350515199</v>
      </c>
      <c r="D258" t="s">
        <v>1111</v>
      </c>
      <c r="E258" t="s">
        <v>1112</v>
      </c>
      <c r="F258" t="s">
        <v>1113</v>
      </c>
      <c r="G258" t="s">
        <v>2010</v>
      </c>
      <c r="I258" s="8" t="e">
        <f>MATCH(A258,'GC-B cell original comparision'!$E$6:$E$237,0)</f>
        <v>#N/A</v>
      </c>
    </row>
    <row r="259" spans="1:9">
      <c r="A259">
        <v>10518561</v>
      </c>
      <c r="B259">
        <v>3.2026086212965601</v>
      </c>
      <c r="C259">
        <v>1.33184413814678</v>
      </c>
      <c r="D259" t="s">
        <v>1114</v>
      </c>
      <c r="E259" t="s">
        <v>1115</v>
      </c>
      <c r="F259" t="s">
        <v>2181</v>
      </c>
      <c r="G259" t="s">
        <v>2010</v>
      </c>
      <c r="I259" s="8">
        <f>MATCH(A259,'GC-B cell original comparision'!$E$6:$E$237,0)</f>
        <v>138</v>
      </c>
    </row>
    <row r="260" spans="1:9">
      <c r="A260">
        <v>10351047</v>
      </c>
      <c r="B260">
        <v>3.1920947331892</v>
      </c>
      <c r="C260">
        <v>1.41404600971449</v>
      </c>
      <c r="D260" t="s">
        <v>1116</v>
      </c>
      <c r="E260" t="s">
        <v>1117</v>
      </c>
      <c r="F260" t="s">
        <v>1118</v>
      </c>
      <c r="G260" t="s">
        <v>2010</v>
      </c>
      <c r="I260" s="8" t="e">
        <f>MATCH(A260,'GC-B cell original comparision'!$E$6:$E$237,0)</f>
        <v>#N/A</v>
      </c>
    </row>
    <row r="261" spans="1:9">
      <c r="A261">
        <v>10422608</v>
      </c>
      <c r="B261">
        <v>3.1913362533127101</v>
      </c>
      <c r="C261">
        <v>1.3800982667608801</v>
      </c>
      <c r="D261" t="s">
        <v>1119</v>
      </c>
      <c r="E261" t="s">
        <v>1120</v>
      </c>
      <c r="F261" t="s">
        <v>1121</v>
      </c>
      <c r="G261" t="s">
        <v>2010</v>
      </c>
      <c r="I261" s="8" t="e">
        <f>MATCH(A261,'GC-B cell original comparision'!$E$6:$E$237,0)</f>
        <v>#N/A</v>
      </c>
    </row>
    <row r="262" spans="1:9">
      <c r="A262">
        <v>10392135</v>
      </c>
      <c r="B262">
        <v>3.1828682844276499</v>
      </c>
      <c r="C262">
        <v>0.34893008198368197</v>
      </c>
      <c r="D262" t="s">
        <v>1122</v>
      </c>
      <c r="E262" t="s">
        <v>1123</v>
      </c>
      <c r="F262" t="s">
        <v>1305</v>
      </c>
      <c r="G262" t="s">
        <v>2010</v>
      </c>
      <c r="I262" s="8" t="e">
        <f>MATCH(A262,'GC-B cell original comparision'!$E$6:$E$237,0)</f>
        <v>#N/A</v>
      </c>
    </row>
    <row r="263" spans="1:9">
      <c r="A263">
        <v>10402073</v>
      </c>
      <c r="B263">
        <v>3.1814890720451698</v>
      </c>
      <c r="C263">
        <v>1.06687599313645</v>
      </c>
      <c r="D263" t="s">
        <v>1306</v>
      </c>
      <c r="E263" t="s">
        <v>1307</v>
      </c>
      <c r="F263" t="s">
        <v>1308</v>
      </c>
      <c r="G263" t="s">
        <v>2010</v>
      </c>
      <c r="I263" s="8">
        <f>MATCH(A263,'GC-B cell original comparision'!$E$6:$E$237,0)</f>
        <v>183</v>
      </c>
    </row>
    <row r="264" spans="1:9">
      <c r="A264">
        <v>10402262</v>
      </c>
      <c r="B264">
        <v>3.1782400739843499</v>
      </c>
      <c r="C264">
        <v>0.84232928647740202</v>
      </c>
      <c r="D264" t="s">
        <v>1309</v>
      </c>
      <c r="E264" t="s">
        <v>1310</v>
      </c>
      <c r="F264" t="s">
        <v>1130</v>
      </c>
      <c r="G264" t="s">
        <v>2060</v>
      </c>
      <c r="I264" s="8" t="e">
        <f>MATCH(A264,'GC-B cell original comparision'!$E$6:$E$237,0)</f>
        <v>#N/A</v>
      </c>
    </row>
    <row r="265" spans="1:9">
      <c r="A265">
        <v>10589464</v>
      </c>
      <c r="B265">
        <v>3.1673054636191198</v>
      </c>
      <c r="C265">
        <v>1.2930866763131901</v>
      </c>
      <c r="D265" t="s">
        <v>1131</v>
      </c>
      <c r="E265" t="s">
        <v>1132</v>
      </c>
      <c r="F265" t="s">
        <v>1133</v>
      </c>
      <c r="G265" t="s">
        <v>2010</v>
      </c>
      <c r="I265" s="8">
        <f>MATCH(A265,'GC-B cell original comparision'!$E$6:$E$237,0)</f>
        <v>163</v>
      </c>
    </row>
    <row r="266" spans="1:9">
      <c r="A266">
        <v>10500720</v>
      </c>
      <c r="B266">
        <v>3.1556851149964702</v>
      </c>
      <c r="C266">
        <v>0.73994630238199099</v>
      </c>
      <c r="D266" t="s">
        <v>1134</v>
      </c>
      <c r="E266" t="s">
        <v>1135</v>
      </c>
      <c r="F266" t="s">
        <v>1136</v>
      </c>
      <c r="G266" t="s">
        <v>2010</v>
      </c>
      <c r="I266" s="8" t="e">
        <f>MATCH(A266,'GC-B cell original comparision'!$E$6:$E$237,0)</f>
        <v>#N/A</v>
      </c>
    </row>
    <row r="267" spans="1:9">
      <c r="A267">
        <v>10469581</v>
      </c>
      <c r="B267">
        <v>3.1535820318994201</v>
      </c>
      <c r="C267">
        <v>0.32783755132678599</v>
      </c>
      <c r="D267" t="s">
        <v>1137</v>
      </c>
      <c r="E267" t="s">
        <v>1138</v>
      </c>
      <c r="F267" t="s">
        <v>1319</v>
      </c>
      <c r="G267" t="s">
        <v>2010</v>
      </c>
      <c r="I267" s="8" t="e">
        <f>MATCH(A267,'GC-B cell original comparision'!$E$6:$E$237,0)</f>
        <v>#N/A</v>
      </c>
    </row>
    <row r="268" spans="1:9">
      <c r="A268">
        <v>10352242</v>
      </c>
      <c r="B268">
        <v>3.1483789651789702</v>
      </c>
      <c r="C268">
        <v>1.20836613273739</v>
      </c>
      <c r="D268" t="s">
        <v>1320</v>
      </c>
      <c r="E268" t="s">
        <v>1321</v>
      </c>
      <c r="F268" t="s">
        <v>1322</v>
      </c>
      <c r="G268" t="s">
        <v>2010</v>
      </c>
      <c r="I268" s="8" t="e">
        <f>MATCH(A268,'GC-B cell original comparision'!$E$6:$E$237,0)</f>
        <v>#N/A</v>
      </c>
    </row>
    <row r="269" spans="1:9">
      <c r="A269">
        <v>10508392</v>
      </c>
      <c r="B269">
        <v>3.1456700276851102</v>
      </c>
      <c r="C269">
        <v>0.40663946684723201</v>
      </c>
      <c r="D269" t="s">
        <v>1323</v>
      </c>
      <c r="E269" t="s">
        <v>1324</v>
      </c>
      <c r="F269" t="s">
        <v>1325</v>
      </c>
      <c r="G269" t="s">
        <v>2010</v>
      </c>
      <c r="I269" s="8" t="e">
        <f>MATCH(A269,'GC-B cell original comparision'!$E$6:$E$237,0)</f>
        <v>#N/A</v>
      </c>
    </row>
    <row r="270" spans="1:9">
      <c r="A270">
        <v>10353524</v>
      </c>
      <c r="B270">
        <v>3.1430951452421199</v>
      </c>
      <c r="C270">
        <v>0.78845431792846599</v>
      </c>
      <c r="D270" t="s">
        <v>1148</v>
      </c>
      <c r="E270" t="s">
        <v>1149</v>
      </c>
      <c r="F270" t="s">
        <v>1150</v>
      </c>
      <c r="G270" t="s">
        <v>2010</v>
      </c>
      <c r="I270" s="8" t="e">
        <f>MATCH(A270,'GC-B cell original comparision'!$E$6:$E$237,0)</f>
        <v>#N/A</v>
      </c>
    </row>
    <row r="271" spans="1:9">
      <c r="A271">
        <v>10556266</v>
      </c>
      <c r="B271">
        <v>3.12388669128261</v>
      </c>
      <c r="C271">
        <v>1.6474111834426799</v>
      </c>
      <c r="D271" t="s">
        <v>1151</v>
      </c>
      <c r="E271" t="s">
        <v>1152</v>
      </c>
      <c r="F271" t="s">
        <v>1153</v>
      </c>
      <c r="G271" t="s">
        <v>2010</v>
      </c>
      <c r="I271" s="8" t="e">
        <f>MATCH(A271,'GC-B cell original comparision'!$E$6:$E$237,0)</f>
        <v>#N/A</v>
      </c>
    </row>
    <row r="272" spans="1:9">
      <c r="A272">
        <v>10594301</v>
      </c>
      <c r="B272">
        <v>3.12056258974915</v>
      </c>
      <c r="C272">
        <v>0.38047168508106799</v>
      </c>
      <c r="D272" t="s">
        <v>1154</v>
      </c>
      <c r="E272" t="s">
        <v>1155</v>
      </c>
      <c r="F272" t="s">
        <v>1156</v>
      </c>
      <c r="G272" t="s">
        <v>2010</v>
      </c>
      <c r="I272" s="8" t="e">
        <f>MATCH(A272,'GC-B cell original comparision'!$E$6:$E$237,0)</f>
        <v>#N/A</v>
      </c>
    </row>
    <row r="273" spans="1:9">
      <c r="A273">
        <v>10560190</v>
      </c>
      <c r="B273">
        <v>3.11524537938902</v>
      </c>
      <c r="C273">
        <v>0.63911960497136999</v>
      </c>
      <c r="D273" t="s">
        <v>1157</v>
      </c>
      <c r="E273" t="s">
        <v>1158</v>
      </c>
      <c r="F273" t="s">
        <v>983</v>
      </c>
      <c r="G273" t="s">
        <v>2010</v>
      </c>
      <c r="I273" s="8" t="e">
        <f>MATCH(A273,'GC-B cell original comparision'!$E$6:$E$237,0)</f>
        <v>#N/A</v>
      </c>
    </row>
    <row r="274" spans="1:9">
      <c r="A274">
        <v>10464448</v>
      </c>
      <c r="B274">
        <v>3.1097180760032299</v>
      </c>
      <c r="C274">
        <v>0.41753603751101798</v>
      </c>
      <c r="D274" t="s">
        <v>984</v>
      </c>
      <c r="E274" t="s">
        <v>985</v>
      </c>
      <c r="F274" t="s">
        <v>986</v>
      </c>
      <c r="G274" t="s">
        <v>2015</v>
      </c>
      <c r="I274" s="8" t="e">
        <f>MATCH(A274,'GC-B cell original comparision'!$E$6:$E$237,0)</f>
        <v>#N/A</v>
      </c>
    </row>
    <row r="275" spans="1:9">
      <c r="A275">
        <v>10505276</v>
      </c>
      <c r="B275">
        <v>3.0976677695624</v>
      </c>
      <c r="C275">
        <v>1.8414941745187201</v>
      </c>
      <c r="D275" t="s">
        <v>987</v>
      </c>
      <c r="E275" t="s">
        <v>988</v>
      </c>
      <c r="F275" t="s">
        <v>1767</v>
      </c>
      <c r="G275" t="s">
        <v>2010</v>
      </c>
      <c r="I275" s="8" t="e">
        <f>MATCH(A275,'GC-B cell original comparision'!$E$6:$E$237,0)</f>
        <v>#N/A</v>
      </c>
    </row>
    <row r="276" spans="1:9">
      <c r="A276">
        <v>10480087</v>
      </c>
      <c r="B276">
        <v>3.0961397242371</v>
      </c>
      <c r="C276">
        <v>0.95561633996808104</v>
      </c>
      <c r="D276" t="s">
        <v>989</v>
      </c>
      <c r="E276" t="s">
        <v>990</v>
      </c>
      <c r="F276" t="s">
        <v>991</v>
      </c>
      <c r="G276" t="s">
        <v>2015</v>
      </c>
      <c r="I276" s="8" t="e">
        <f>MATCH(A276,'GC-B cell original comparision'!$E$6:$E$237,0)</f>
        <v>#N/A</v>
      </c>
    </row>
    <row r="277" spans="1:9">
      <c r="A277">
        <v>10505643</v>
      </c>
      <c r="B277">
        <v>3.0933167854490402</v>
      </c>
      <c r="C277">
        <v>1.06705131905379</v>
      </c>
      <c r="D277" t="s">
        <v>992</v>
      </c>
      <c r="E277" t="s">
        <v>993</v>
      </c>
      <c r="F277" t="s">
        <v>994</v>
      </c>
      <c r="G277" t="s">
        <v>2010</v>
      </c>
      <c r="I277" s="8" t="e">
        <f>MATCH(A277,'GC-B cell original comparision'!$E$6:$E$237,0)</f>
        <v>#N/A</v>
      </c>
    </row>
    <row r="278" spans="1:9">
      <c r="A278">
        <v>10505163</v>
      </c>
      <c r="B278">
        <v>3.0931971743689699</v>
      </c>
      <c r="C278">
        <v>0.23797809006083501</v>
      </c>
      <c r="D278" t="s">
        <v>995</v>
      </c>
      <c r="E278" t="s">
        <v>996</v>
      </c>
      <c r="F278" t="s">
        <v>997</v>
      </c>
      <c r="G278" t="s">
        <v>2010</v>
      </c>
      <c r="I278" s="8" t="e">
        <f>MATCH(A278,'GC-B cell original comparision'!$E$6:$E$237,0)</f>
        <v>#N/A</v>
      </c>
    </row>
    <row r="279" spans="1:9">
      <c r="A279">
        <v>10520362</v>
      </c>
      <c r="B279">
        <v>3.0862593275243499</v>
      </c>
      <c r="C279">
        <v>0.53988136506751505</v>
      </c>
      <c r="D279" t="s">
        <v>998</v>
      </c>
      <c r="E279" t="s">
        <v>999</v>
      </c>
      <c r="F279" t="s">
        <v>1000</v>
      </c>
      <c r="G279" t="s">
        <v>2010</v>
      </c>
      <c r="I279" s="8" t="e">
        <f>MATCH(A279,'GC-B cell original comparision'!$E$6:$E$237,0)</f>
        <v>#N/A</v>
      </c>
    </row>
    <row r="280" spans="1:9">
      <c r="A280">
        <v>10411751</v>
      </c>
      <c r="B280">
        <v>3.0833213912876301</v>
      </c>
      <c r="C280">
        <v>1.17688243827753</v>
      </c>
      <c r="D280" t="s">
        <v>1001</v>
      </c>
      <c r="E280" t="s">
        <v>1002</v>
      </c>
      <c r="F280" t="s">
        <v>1180</v>
      </c>
      <c r="G280" t="s">
        <v>2010</v>
      </c>
      <c r="I280" s="8" t="e">
        <f>MATCH(A280,'GC-B cell original comparision'!$E$6:$E$237,0)</f>
        <v>#N/A</v>
      </c>
    </row>
    <row r="281" spans="1:9">
      <c r="A281">
        <v>10356461</v>
      </c>
      <c r="B281">
        <v>3.0825780551211102</v>
      </c>
      <c r="C281">
        <v>1.3863326110277701</v>
      </c>
      <c r="D281" t="s">
        <v>1181</v>
      </c>
      <c r="E281" t="s">
        <v>1182</v>
      </c>
      <c r="F281" t="s">
        <v>1183</v>
      </c>
      <c r="G281" t="s">
        <v>2010</v>
      </c>
      <c r="I281" s="8" t="e">
        <f>MATCH(A281,'GC-B cell original comparision'!$E$6:$E$237,0)</f>
        <v>#N/A</v>
      </c>
    </row>
    <row r="282" spans="1:9">
      <c r="A282">
        <v>10359948</v>
      </c>
      <c r="B282">
        <v>3.0774031158648398</v>
      </c>
      <c r="C282">
        <v>0.57577863842504395</v>
      </c>
      <c r="D282" t="s">
        <v>1184</v>
      </c>
      <c r="E282" t="s">
        <v>1185</v>
      </c>
      <c r="F282" t="s">
        <v>1186</v>
      </c>
      <c r="G282" t="s">
        <v>2010</v>
      </c>
      <c r="I282" s="8" t="e">
        <f>MATCH(A282,'GC-B cell original comparision'!$E$6:$E$237,0)</f>
        <v>#N/A</v>
      </c>
    </row>
    <row r="283" spans="1:9">
      <c r="A283">
        <v>10502510</v>
      </c>
      <c r="B283">
        <v>3.0496191229019902</v>
      </c>
      <c r="C283">
        <v>0.36141433706304898</v>
      </c>
      <c r="D283" t="s">
        <v>1187</v>
      </c>
      <c r="E283" t="s">
        <v>1188</v>
      </c>
      <c r="F283" t="s">
        <v>1189</v>
      </c>
      <c r="G283" t="s">
        <v>2010</v>
      </c>
      <c r="I283" s="8" t="e">
        <f>MATCH(A283,'GC-B cell original comparision'!$E$6:$E$237,0)</f>
        <v>#N/A</v>
      </c>
    </row>
    <row r="284" spans="1:9">
      <c r="A284">
        <v>10397818</v>
      </c>
      <c r="B284">
        <v>3.0432275768317498</v>
      </c>
      <c r="C284">
        <v>1.05379618564049</v>
      </c>
      <c r="D284" t="s">
        <v>1190</v>
      </c>
      <c r="E284" t="s">
        <v>1191</v>
      </c>
      <c r="F284" t="s">
        <v>1192</v>
      </c>
      <c r="G284" t="s">
        <v>2010</v>
      </c>
      <c r="I284" s="8">
        <f>MATCH(A284,'GC-B cell original comparision'!$E$6:$E$237,0)</f>
        <v>147</v>
      </c>
    </row>
    <row r="285" spans="1:9">
      <c r="A285">
        <v>10535979</v>
      </c>
      <c r="B285">
        <v>3.0225010719114902</v>
      </c>
      <c r="C285">
        <v>1.58649678292676</v>
      </c>
      <c r="D285" t="s">
        <v>1193</v>
      </c>
      <c r="E285" t="s">
        <v>1194</v>
      </c>
      <c r="F285" t="s">
        <v>1020</v>
      </c>
      <c r="G285" t="s">
        <v>2010</v>
      </c>
      <c r="I285" s="8">
        <f>MATCH(A285,'GC-B cell original comparision'!$E$6:$E$237,0)</f>
        <v>96</v>
      </c>
    </row>
    <row r="286" spans="1:9">
      <c r="A286">
        <v>10450501</v>
      </c>
      <c r="B286">
        <v>2.99455542919373</v>
      </c>
      <c r="C286">
        <v>1.0522318402297099</v>
      </c>
      <c r="D286" t="s">
        <v>1021</v>
      </c>
      <c r="E286" t="s">
        <v>1022</v>
      </c>
      <c r="F286" t="s">
        <v>1023</v>
      </c>
      <c r="G286" t="s">
        <v>2010</v>
      </c>
      <c r="I286" s="8" t="e">
        <f>MATCH(A286,'GC-B cell original comparision'!$E$6:$E$237,0)</f>
        <v>#N/A</v>
      </c>
    </row>
    <row r="287" spans="1:9">
      <c r="A287">
        <v>10340514</v>
      </c>
      <c r="B287">
        <v>2.9938430284240898</v>
      </c>
      <c r="C287">
        <v>0.81239303481174296</v>
      </c>
      <c r="D287" s="10" t="s">
        <v>2038</v>
      </c>
      <c r="E287" s="10"/>
      <c r="I287" s="8" t="e">
        <f>MATCH(A287,'GC-B cell original comparision'!$E$6:$E$237,0)</f>
        <v>#N/A</v>
      </c>
    </row>
    <row r="288" spans="1:9">
      <c r="A288">
        <v>10367634</v>
      </c>
      <c r="B288">
        <v>2.9926353110578199</v>
      </c>
      <c r="C288">
        <v>0.82313253799199304</v>
      </c>
      <c r="D288" t="s">
        <v>1024</v>
      </c>
      <c r="E288" t="s">
        <v>1025</v>
      </c>
      <c r="F288" t="s">
        <v>1026</v>
      </c>
      <c r="G288" t="s">
        <v>2010</v>
      </c>
      <c r="I288" s="8" t="e">
        <f>MATCH(A288,'GC-B cell original comparision'!$E$6:$E$237,0)</f>
        <v>#N/A</v>
      </c>
    </row>
    <row r="289" spans="1:9">
      <c r="A289">
        <v>10437698</v>
      </c>
      <c r="B289">
        <v>2.98144235936936</v>
      </c>
      <c r="C289">
        <v>2.8769782449319398E-2</v>
      </c>
      <c r="D289" t="s">
        <v>1027</v>
      </c>
      <c r="E289" t="s">
        <v>1028</v>
      </c>
      <c r="F289" t="s">
        <v>1029</v>
      </c>
      <c r="G289" t="s">
        <v>2010</v>
      </c>
      <c r="I289" s="8" t="e">
        <f>MATCH(A289,'GC-B cell original comparision'!$E$6:$E$237,0)</f>
        <v>#N/A</v>
      </c>
    </row>
    <row r="290" spans="1:9">
      <c r="A290">
        <v>10592802</v>
      </c>
      <c r="B290">
        <v>2.97848977712929</v>
      </c>
      <c r="C290">
        <v>0.405923953523668</v>
      </c>
      <c r="D290" t="s">
        <v>1030</v>
      </c>
      <c r="E290" t="s">
        <v>1031</v>
      </c>
      <c r="F290" t="s">
        <v>1032</v>
      </c>
      <c r="G290" t="s">
        <v>2010</v>
      </c>
      <c r="I290" s="8" t="e">
        <f>MATCH(A290,'GC-B cell original comparision'!$E$6:$E$237,0)</f>
        <v>#N/A</v>
      </c>
    </row>
    <row r="291" spans="1:9">
      <c r="A291">
        <v>10369252</v>
      </c>
      <c r="B291">
        <v>2.9753381433069701</v>
      </c>
      <c r="C291">
        <v>0.68066277878438297</v>
      </c>
      <c r="D291" t="s">
        <v>1033</v>
      </c>
      <c r="E291" s="2">
        <v>39334</v>
      </c>
      <c r="F291" t="s">
        <v>1034</v>
      </c>
      <c r="G291" t="s">
        <v>2010</v>
      </c>
      <c r="I291" s="8" t="e">
        <f>MATCH(A291,'GC-B cell original comparision'!$E$6:$E$237,0)</f>
        <v>#N/A</v>
      </c>
    </row>
    <row r="292" spans="1:9">
      <c r="A292">
        <v>10511881</v>
      </c>
      <c r="B292">
        <v>2.9651642076250702</v>
      </c>
      <c r="C292">
        <v>1.1399257578605899</v>
      </c>
      <c r="D292" t="s">
        <v>1035</v>
      </c>
      <c r="E292" t="s">
        <v>1036</v>
      </c>
      <c r="F292" t="s">
        <v>1037</v>
      </c>
      <c r="G292" t="s">
        <v>2010</v>
      </c>
      <c r="I292" s="8" t="e">
        <f>MATCH(A292,'GC-B cell original comparision'!$E$6:$E$237,0)</f>
        <v>#N/A</v>
      </c>
    </row>
    <row r="293" spans="1:9">
      <c r="A293">
        <v>10478196</v>
      </c>
      <c r="B293">
        <v>2.9562160435970299</v>
      </c>
      <c r="C293">
        <v>0.86379372756742601</v>
      </c>
      <c r="D293" t="s">
        <v>1038</v>
      </c>
      <c r="E293" t="s">
        <v>1039</v>
      </c>
      <c r="F293" t="s">
        <v>1213</v>
      </c>
      <c r="G293" t="s">
        <v>2010</v>
      </c>
      <c r="I293" s="8" t="e">
        <f>MATCH(A293,'GC-B cell original comparision'!$E$6:$E$237,0)</f>
        <v>#N/A</v>
      </c>
    </row>
    <row r="294" spans="1:9">
      <c r="A294">
        <v>10438445</v>
      </c>
      <c r="B294">
        <v>2.94881648954805</v>
      </c>
      <c r="C294">
        <v>1.0044978256569399</v>
      </c>
      <c r="D294" t="s">
        <v>1214</v>
      </c>
      <c r="E294" t="s">
        <v>1215</v>
      </c>
      <c r="F294" t="s">
        <v>1216</v>
      </c>
      <c r="G294" t="s">
        <v>2010</v>
      </c>
      <c r="I294" s="8">
        <f>MATCH(A294,'GC-B cell original comparision'!$E$6:$E$237,0)</f>
        <v>67</v>
      </c>
    </row>
    <row r="295" spans="1:9">
      <c r="A295">
        <v>10452508</v>
      </c>
      <c r="B295">
        <v>2.94645557830742</v>
      </c>
      <c r="C295">
        <v>0.60190398116948296</v>
      </c>
      <c r="D295" t="s">
        <v>1217</v>
      </c>
      <c r="E295" t="s">
        <v>1218</v>
      </c>
      <c r="F295" t="s">
        <v>1046</v>
      </c>
      <c r="G295" t="s">
        <v>2010</v>
      </c>
      <c r="I295" s="8" t="e">
        <f>MATCH(A295,'GC-B cell original comparision'!$E$6:$E$237,0)</f>
        <v>#N/A</v>
      </c>
    </row>
    <row r="296" spans="1:9">
      <c r="A296">
        <v>10381809</v>
      </c>
      <c r="B296">
        <v>2.9375402745264401</v>
      </c>
      <c r="C296">
        <v>0.60659658278975104</v>
      </c>
      <c r="D296" t="s">
        <v>1047</v>
      </c>
      <c r="E296" t="s">
        <v>1048</v>
      </c>
      <c r="F296" t="s">
        <v>1049</v>
      </c>
      <c r="G296" t="s">
        <v>2010</v>
      </c>
      <c r="I296" s="8" t="e">
        <f>MATCH(A296,'GC-B cell original comparision'!$E$6:$E$237,0)</f>
        <v>#N/A</v>
      </c>
    </row>
    <row r="297" spans="1:9">
      <c r="A297">
        <v>10412909</v>
      </c>
      <c r="B297">
        <v>2.9342730576799401</v>
      </c>
      <c r="C297">
        <v>1.2431746508858801</v>
      </c>
      <c r="D297" t="s">
        <v>1050</v>
      </c>
      <c r="E297" t="s">
        <v>1051</v>
      </c>
      <c r="F297" t="s">
        <v>1052</v>
      </c>
      <c r="G297" t="s">
        <v>2010</v>
      </c>
      <c r="I297" s="8" t="e">
        <f>MATCH(A297,'GC-B cell original comparision'!$E$6:$E$237,0)</f>
        <v>#N/A</v>
      </c>
    </row>
    <row r="298" spans="1:9">
      <c r="A298">
        <v>10396652</v>
      </c>
      <c r="B298">
        <v>2.9270341136606</v>
      </c>
      <c r="C298">
        <v>0.53524990342750001</v>
      </c>
      <c r="D298" t="s">
        <v>1053</v>
      </c>
      <c r="E298" t="s">
        <v>1054</v>
      </c>
      <c r="F298" t="s">
        <v>1055</v>
      </c>
      <c r="G298" t="s">
        <v>2010</v>
      </c>
      <c r="I298" s="8" t="e">
        <f>MATCH(A298,'GC-B cell original comparision'!$E$6:$E$237,0)</f>
        <v>#N/A</v>
      </c>
    </row>
    <row r="299" spans="1:9">
      <c r="A299">
        <v>10505747</v>
      </c>
      <c r="B299">
        <v>2.9242984279017801</v>
      </c>
      <c r="C299">
        <v>1.5998255533230401</v>
      </c>
      <c r="D299" t="s">
        <v>1056</v>
      </c>
      <c r="E299" t="s">
        <v>1228</v>
      </c>
      <c r="F299" t="s">
        <v>1229</v>
      </c>
      <c r="G299" t="s">
        <v>2010</v>
      </c>
      <c r="I299" s="8" t="e">
        <f>MATCH(A299,'GC-B cell original comparision'!$E$6:$E$237,0)</f>
        <v>#N/A</v>
      </c>
    </row>
    <row r="300" spans="1:9">
      <c r="A300">
        <v>10428998</v>
      </c>
      <c r="B300">
        <v>2.91199587784855</v>
      </c>
      <c r="C300">
        <v>0.96378315811401705</v>
      </c>
      <c r="D300" t="s">
        <v>1230</v>
      </c>
      <c r="E300" t="s">
        <v>1231</v>
      </c>
      <c r="F300" t="s">
        <v>1232</v>
      </c>
      <c r="G300" t="s">
        <v>2010</v>
      </c>
      <c r="I300" s="8" t="e">
        <f>MATCH(A300,'GC-B cell original comparision'!$E$6:$E$237,0)</f>
        <v>#N/A</v>
      </c>
    </row>
    <row r="301" spans="1:9">
      <c r="A301">
        <v>10363379</v>
      </c>
      <c r="B301">
        <v>2.9110053334884198</v>
      </c>
      <c r="C301">
        <v>0.97225698576747199</v>
      </c>
      <c r="D301" t="s">
        <v>1233</v>
      </c>
      <c r="E301" t="s">
        <v>1234</v>
      </c>
      <c r="F301" t="s">
        <v>1064</v>
      </c>
      <c r="G301" t="s">
        <v>2010</v>
      </c>
      <c r="I301" s="8" t="e">
        <f>MATCH(A301,'GC-B cell original comparision'!$E$6:$E$237,0)</f>
        <v>#N/A</v>
      </c>
    </row>
    <row r="302" spans="1:9">
      <c r="A302">
        <v>10592106</v>
      </c>
      <c r="B302">
        <v>2.9052921434802599</v>
      </c>
      <c r="C302">
        <v>0.66905034022265997</v>
      </c>
      <c r="D302" t="s">
        <v>1065</v>
      </c>
      <c r="E302" t="s">
        <v>1066</v>
      </c>
      <c r="F302" t="s">
        <v>1067</v>
      </c>
      <c r="G302" t="s">
        <v>2010</v>
      </c>
      <c r="I302" s="8" t="e">
        <f>MATCH(A302,'GC-B cell original comparision'!$E$6:$E$237,0)</f>
        <v>#N/A</v>
      </c>
    </row>
    <row r="303" spans="1:9">
      <c r="A303">
        <v>10472893</v>
      </c>
      <c r="B303">
        <v>2.90204377400672</v>
      </c>
      <c r="C303">
        <v>0.562225626536481</v>
      </c>
      <c r="D303" t="s">
        <v>1068</v>
      </c>
      <c r="E303" t="s">
        <v>1069</v>
      </c>
      <c r="F303" t="s">
        <v>1070</v>
      </c>
      <c r="G303" t="s">
        <v>2010</v>
      </c>
      <c r="I303" s="8" t="e">
        <f>MATCH(A303,'GC-B cell original comparision'!$E$6:$E$237,0)</f>
        <v>#N/A</v>
      </c>
    </row>
    <row r="304" spans="1:9">
      <c r="A304">
        <v>10429341</v>
      </c>
      <c r="B304">
        <v>2.9019281197807798</v>
      </c>
      <c r="C304">
        <v>1.12885096010735</v>
      </c>
      <c r="D304" t="s">
        <v>896</v>
      </c>
      <c r="E304" t="s">
        <v>897</v>
      </c>
      <c r="F304" t="s">
        <v>898</v>
      </c>
      <c r="G304" t="s">
        <v>2010</v>
      </c>
      <c r="I304" s="8" t="e">
        <f>MATCH(A304,'GC-B cell original comparision'!$E$6:$E$237,0)</f>
        <v>#N/A</v>
      </c>
    </row>
    <row r="305" spans="1:9">
      <c r="A305">
        <v>10392347</v>
      </c>
      <c r="B305">
        <v>2.9004074174666501</v>
      </c>
      <c r="C305">
        <v>2.1039268001142402</v>
      </c>
      <c r="D305" t="s">
        <v>899</v>
      </c>
      <c r="E305" t="s">
        <v>900</v>
      </c>
      <c r="F305" t="s">
        <v>901</v>
      </c>
      <c r="G305" t="s">
        <v>2010</v>
      </c>
      <c r="I305" s="8" t="e">
        <f>MATCH(A305,'GC-B cell original comparision'!$E$6:$E$237,0)</f>
        <v>#N/A</v>
      </c>
    </row>
    <row r="306" spans="1:9">
      <c r="A306">
        <v>10338835</v>
      </c>
      <c r="B306">
        <v>2.8971054004426802</v>
      </c>
      <c r="C306">
        <v>0.81851474394841495</v>
      </c>
      <c r="D306" s="10" t="s">
        <v>2038</v>
      </c>
      <c r="E306" s="10"/>
      <c r="I306" s="8" t="e">
        <f>MATCH(A306,'GC-B cell original comparision'!$E$6:$E$237,0)</f>
        <v>#N/A</v>
      </c>
    </row>
    <row r="307" spans="1:9">
      <c r="A307">
        <v>10352166</v>
      </c>
      <c r="B307">
        <v>2.88655603539886</v>
      </c>
      <c r="C307">
        <v>0.42396759884391999</v>
      </c>
      <c r="D307" t="s">
        <v>902</v>
      </c>
      <c r="E307" t="s">
        <v>903</v>
      </c>
      <c r="F307" t="s">
        <v>904</v>
      </c>
      <c r="G307" t="s">
        <v>2010</v>
      </c>
      <c r="I307" s="8" t="e">
        <f>MATCH(A307,'GC-B cell original comparision'!$E$6:$E$237,0)</f>
        <v>#N/A</v>
      </c>
    </row>
    <row r="308" spans="1:9">
      <c r="A308">
        <v>10544610</v>
      </c>
      <c r="B308">
        <v>2.8850466680447902</v>
      </c>
      <c r="C308">
        <v>1.20319916984191</v>
      </c>
      <c r="D308" t="s">
        <v>905</v>
      </c>
      <c r="E308" t="s">
        <v>906</v>
      </c>
      <c r="F308" t="s">
        <v>907</v>
      </c>
      <c r="G308" t="s">
        <v>2010</v>
      </c>
      <c r="I308" s="8" t="e">
        <f>MATCH(A308,'GC-B cell original comparision'!$E$6:$E$237,0)</f>
        <v>#N/A</v>
      </c>
    </row>
    <row r="309" spans="1:9">
      <c r="A309">
        <v>10396640</v>
      </c>
      <c r="B309">
        <v>2.8694960612686198</v>
      </c>
      <c r="C309">
        <v>1.1010546165841999</v>
      </c>
      <c r="D309" t="s">
        <v>908</v>
      </c>
      <c r="E309" t="s">
        <v>909</v>
      </c>
      <c r="F309" t="s">
        <v>910</v>
      </c>
      <c r="G309" t="s">
        <v>2010</v>
      </c>
      <c r="I309" s="8" t="e">
        <f>MATCH(A309,'GC-B cell original comparision'!$E$6:$E$237,0)</f>
        <v>#N/A</v>
      </c>
    </row>
    <row r="310" spans="1:9">
      <c r="A310">
        <v>10446656</v>
      </c>
      <c r="B310">
        <v>2.8611220025956099</v>
      </c>
      <c r="C310">
        <v>0.33546990660866499</v>
      </c>
      <c r="D310" t="s">
        <v>911</v>
      </c>
      <c r="E310" t="s">
        <v>912</v>
      </c>
      <c r="F310" t="s">
        <v>913</v>
      </c>
      <c r="G310" t="s">
        <v>2010</v>
      </c>
      <c r="I310" s="8" t="e">
        <f>MATCH(A310,'GC-B cell original comparision'!$E$6:$E$237,0)</f>
        <v>#N/A</v>
      </c>
    </row>
    <row r="311" spans="1:9">
      <c r="A311">
        <v>10536593</v>
      </c>
      <c r="B311">
        <v>2.8520560136011999</v>
      </c>
      <c r="C311">
        <v>0.140192092994676</v>
      </c>
      <c r="D311" t="s">
        <v>1090</v>
      </c>
      <c r="E311" t="s">
        <v>1091</v>
      </c>
      <c r="F311" t="s">
        <v>1092</v>
      </c>
      <c r="G311" t="s">
        <v>2010</v>
      </c>
      <c r="I311" s="8" t="e">
        <f>MATCH(A311,'GC-B cell original comparision'!$E$6:$E$237,0)</f>
        <v>#N/A</v>
      </c>
    </row>
    <row r="312" spans="1:9">
      <c r="A312">
        <v>10540952</v>
      </c>
      <c r="B312">
        <v>2.8439911144791599</v>
      </c>
      <c r="C312">
        <v>0.42688070329209898</v>
      </c>
      <c r="D312" t="s">
        <v>1093</v>
      </c>
      <c r="E312" t="s">
        <v>1094</v>
      </c>
      <c r="F312" t="s">
        <v>1095</v>
      </c>
      <c r="G312" t="s">
        <v>2010</v>
      </c>
      <c r="I312" s="8" t="e">
        <f>MATCH(A312,'GC-B cell original comparision'!$E$6:$E$237,0)</f>
        <v>#N/A</v>
      </c>
    </row>
    <row r="313" spans="1:9">
      <c r="A313">
        <v>10504054</v>
      </c>
      <c r="B313">
        <v>2.8426953563462098</v>
      </c>
      <c r="C313">
        <v>0.46737498871871602</v>
      </c>
      <c r="D313" s="10" t="s">
        <v>2038</v>
      </c>
      <c r="E313" s="10"/>
      <c r="I313" s="8" t="e">
        <f>MATCH(A313,'GC-B cell original comparision'!$E$6:$E$237,0)</f>
        <v>#N/A</v>
      </c>
    </row>
    <row r="314" spans="1:9">
      <c r="A314">
        <v>10416533</v>
      </c>
      <c r="B314">
        <v>2.8386289808043701</v>
      </c>
      <c r="C314">
        <v>0.73577467794727403</v>
      </c>
      <c r="D314" t="s">
        <v>1096</v>
      </c>
      <c r="E314" t="s">
        <v>1097</v>
      </c>
      <c r="F314" t="s">
        <v>1098</v>
      </c>
      <c r="G314" t="s">
        <v>2010</v>
      </c>
      <c r="I314" s="8" t="e">
        <f>MATCH(A314,'GC-B cell original comparision'!$E$6:$E$237,0)</f>
        <v>#N/A</v>
      </c>
    </row>
    <row r="315" spans="1:9">
      <c r="A315">
        <v>10598018</v>
      </c>
      <c r="B315">
        <v>2.83858960168457</v>
      </c>
      <c r="C315">
        <v>0.64316555535442899</v>
      </c>
      <c r="D315" s="10" t="s">
        <v>2038</v>
      </c>
      <c r="E315" s="10"/>
      <c r="I315" s="8" t="e">
        <f>MATCH(A315,'GC-B cell original comparision'!$E$6:$E$237,0)</f>
        <v>#N/A</v>
      </c>
    </row>
    <row r="316" spans="1:9">
      <c r="A316">
        <v>10608671</v>
      </c>
      <c r="B316">
        <v>2.8364101150451599</v>
      </c>
      <c r="C316">
        <v>1.1773427216593699</v>
      </c>
      <c r="D316" s="10" t="s">
        <v>2038</v>
      </c>
      <c r="E316" s="10"/>
      <c r="I316" s="8" t="e">
        <f>MATCH(A316,'GC-B cell original comparision'!$E$6:$E$237,0)</f>
        <v>#N/A</v>
      </c>
    </row>
    <row r="317" spans="1:9">
      <c r="A317">
        <v>10533446</v>
      </c>
      <c r="B317">
        <v>2.8355814355711999</v>
      </c>
      <c r="C317">
        <v>4.7350434744041901E-2</v>
      </c>
      <c r="D317" t="s">
        <v>1099</v>
      </c>
      <c r="E317" t="s">
        <v>1100</v>
      </c>
      <c r="F317" t="s">
        <v>1101</v>
      </c>
      <c r="G317" t="s">
        <v>2010</v>
      </c>
      <c r="I317" s="8" t="e">
        <f>MATCH(A317,'GC-B cell original comparision'!$E$6:$E$237,0)</f>
        <v>#N/A</v>
      </c>
    </row>
    <row r="318" spans="1:9">
      <c r="A318">
        <v>10553859</v>
      </c>
      <c r="B318">
        <v>2.8337923646849901</v>
      </c>
      <c r="C318">
        <v>1.3638369216764401</v>
      </c>
      <c r="D318" s="10" t="s">
        <v>2038</v>
      </c>
      <c r="E318" s="10"/>
      <c r="I318" s="8" t="e">
        <f>MATCH(A318,'GC-B cell original comparision'!$E$6:$E$237,0)</f>
        <v>#N/A</v>
      </c>
    </row>
    <row r="319" spans="1:9">
      <c r="A319">
        <v>10555174</v>
      </c>
      <c r="B319">
        <v>2.8311434224101899</v>
      </c>
      <c r="C319">
        <v>0.31934716443101502</v>
      </c>
      <c r="D319" t="s">
        <v>1102</v>
      </c>
      <c r="E319" t="s">
        <v>1103</v>
      </c>
      <c r="F319" t="s">
        <v>930</v>
      </c>
      <c r="G319" t="s">
        <v>2010</v>
      </c>
      <c r="I319" s="8" t="e">
        <f>MATCH(A319,'GC-B cell original comparision'!$E$6:$E$237,0)</f>
        <v>#N/A</v>
      </c>
    </row>
    <row r="320" spans="1:9">
      <c r="A320">
        <v>10407420</v>
      </c>
      <c r="B320">
        <v>2.8165674836597501</v>
      </c>
      <c r="C320">
        <v>0.95727897711371401</v>
      </c>
      <c r="D320" t="s">
        <v>931</v>
      </c>
      <c r="E320" t="s">
        <v>932</v>
      </c>
      <c r="F320" t="s">
        <v>933</v>
      </c>
      <c r="G320" t="s">
        <v>2010</v>
      </c>
      <c r="I320" s="8" t="e">
        <f>MATCH(A320,'GC-B cell original comparision'!$E$6:$E$237,0)</f>
        <v>#N/A</v>
      </c>
    </row>
    <row r="321" spans="1:9">
      <c r="A321">
        <v>10514158</v>
      </c>
      <c r="B321">
        <v>2.8092100181914099</v>
      </c>
      <c r="C321">
        <v>1.2479115210526399</v>
      </c>
      <c r="D321" t="s">
        <v>934</v>
      </c>
      <c r="E321" t="s">
        <v>935</v>
      </c>
      <c r="F321" t="s">
        <v>936</v>
      </c>
      <c r="G321" t="s">
        <v>2010</v>
      </c>
      <c r="I321" s="8">
        <f>MATCH(A321,'GC-B cell original comparision'!$E$6:$E$237,0)</f>
        <v>144</v>
      </c>
    </row>
    <row r="322" spans="1:9">
      <c r="A322">
        <v>10493660</v>
      </c>
      <c r="B322">
        <v>2.8085824666877799</v>
      </c>
      <c r="C322">
        <v>0.643958632995003</v>
      </c>
      <c r="D322" t="s">
        <v>937</v>
      </c>
      <c r="E322" t="s">
        <v>938</v>
      </c>
      <c r="F322" t="s">
        <v>939</v>
      </c>
      <c r="G322" t="s">
        <v>2010</v>
      </c>
      <c r="I322" s="8" t="e">
        <f>MATCH(A322,'GC-B cell original comparision'!$E$6:$E$237,0)</f>
        <v>#N/A</v>
      </c>
    </row>
    <row r="323" spans="1:9">
      <c r="A323">
        <v>10467041</v>
      </c>
      <c r="B323">
        <v>2.7952332137704401</v>
      </c>
      <c r="C323">
        <v>1.03313446806376</v>
      </c>
      <c r="D323" t="s">
        <v>940</v>
      </c>
      <c r="E323" t="s">
        <v>941</v>
      </c>
      <c r="F323" t="s">
        <v>942</v>
      </c>
      <c r="G323" t="s">
        <v>2010</v>
      </c>
      <c r="I323" s="8" t="e">
        <f>MATCH(A323,'GC-B cell original comparision'!$E$6:$E$237,0)</f>
        <v>#N/A</v>
      </c>
    </row>
    <row r="324" spans="1:9">
      <c r="A324">
        <v>10571312</v>
      </c>
      <c r="B324">
        <v>2.7916112555146402</v>
      </c>
      <c r="C324">
        <v>0.75138175808246599</v>
      </c>
      <c r="D324" t="s">
        <v>943</v>
      </c>
      <c r="E324" t="s">
        <v>944</v>
      </c>
      <c r="F324" t="s">
        <v>945</v>
      </c>
      <c r="G324" t="s">
        <v>2010</v>
      </c>
      <c r="I324" s="8" t="e">
        <f>MATCH(A324,'GC-B cell original comparision'!$E$6:$E$237,0)</f>
        <v>#N/A</v>
      </c>
    </row>
    <row r="325" spans="1:9">
      <c r="A325">
        <v>10386909</v>
      </c>
      <c r="B325">
        <v>2.7875418613757499</v>
      </c>
      <c r="C325">
        <v>1.1712959656563799</v>
      </c>
      <c r="D325" t="s">
        <v>946</v>
      </c>
      <c r="E325" t="s">
        <v>947</v>
      </c>
      <c r="F325" t="s">
        <v>948</v>
      </c>
      <c r="G325" t="s">
        <v>2010</v>
      </c>
      <c r="I325" s="8" t="e">
        <f>MATCH(A325,'GC-B cell original comparision'!$E$6:$E$237,0)</f>
        <v>#N/A</v>
      </c>
    </row>
    <row r="326" spans="1:9">
      <c r="A326">
        <v>10485562</v>
      </c>
      <c r="B326">
        <v>2.78340750458741</v>
      </c>
      <c r="C326">
        <v>0.42967439586084499</v>
      </c>
      <c r="D326" t="s">
        <v>949</v>
      </c>
      <c r="E326" t="s">
        <v>950</v>
      </c>
      <c r="F326" t="s">
        <v>1124</v>
      </c>
      <c r="G326" t="s">
        <v>2010</v>
      </c>
      <c r="I326" s="8">
        <f>MATCH(A326,'GC-B cell original comparision'!$E$6:$E$237,0)</f>
        <v>213</v>
      </c>
    </row>
    <row r="327" spans="1:9">
      <c r="A327">
        <v>10435149</v>
      </c>
      <c r="B327">
        <v>2.7803971042104898</v>
      </c>
      <c r="C327">
        <v>0.76863381353577698</v>
      </c>
      <c r="D327" t="s">
        <v>1125</v>
      </c>
      <c r="E327" t="s">
        <v>1126</v>
      </c>
      <c r="F327" t="s">
        <v>1127</v>
      </c>
      <c r="G327" t="s">
        <v>2010</v>
      </c>
      <c r="I327" s="8" t="e">
        <f>MATCH(A327,'GC-B cell original comparision'!$E$6:$E$237,0)</f>
        <v>#N/A</v>
      </c>
    </row>
    <row r="328" spans="1:9">
      <c r="A328">
        <v>10490894</v>
      </c>
      <c r="B328">
        <v>2.7789578677698099</v>
      </c>
      <c r="C328">
        <v>0.55302513801918396</v>
      </c>
      <c r="D328" t="s">
        <v>1128</v>
      </c>
      <c r="E328" t="s">
        <v>1129</v>
      </c>
      <c r="F328" t="s">
        <v>960</v>
      </c>
      <c r="G328" t="s">
        <v>2010</v>
      </c>
      <c r="I328" s="8" t="e">
        <f>MATCH(A328,'GC-B cell original comparision'!$E$6:$E$237,0)</f>
        <v>#N/A</v>
      </c>
    </row>
    <row r="329" spans="1:9">
      <c r="A329">
        <v>10584634</v>
      </c>
      <c r="B329">
        <v>2.7722145050340101</v>
      </c>
      <c r="C329">
        <v>0.65625257662511205</v>
      </c>
      <c r="D329" t="s">
        <v>961</v>
      </c>
      <c r="E329" t="s">
        <v>962</v>
      </c>
      <c r="F329" t="s">
        <v>963</v>
      </c>
      <c r="G329" t="s">
        <v>2010</v>
      </c>
      <c r="I329" s="8" t="e">
        <f>MATCH(A329,'GC-B cell original comparision'!$E$6:$E$237,0)</f>
        <v>#N/A</v>
      </c>
    </row>
    <row r="330" spans="1:9">
      <c r="A330">
        <v>10512236</v>
      </c>
      <c r="B330">
        <v>2.7715844387469302</v>
      </c>
      <c r="C330">
        <v>0.84120222487080998</v>
      </c>
      <c r="D330" t="s">
        <v>964</v>
      </c>
      <c r="E330" t="s">
        <v>965</v>
      </c>
      <c r="F330" t="s">
        <v>966</v>
      </c>
      <c r="G330" t="s">
        <v>2010</v>
      </c>
      <c r="I330" s="8">
        <f>MATCH(A330,'GC-B cell original comparision'!$E$6:$E$237,0)</f>
        <v>166</v>
      </c>
    </row>
    <row r="331" spans="1:9">
      <c r="A331">
        <v>10578763</v>
      </c>
      <c r="B331">
        <v>2.76880760585935</v>
      </c>
      <c r="C331">
        <v>0.66600560359158001</v>
      </c>
      <c r="D331" t="s">
        <v>967</v>
      </c>
      <c r="E331" t="s">
        <v>968</v>
      </c>
      <c r="F331" t="s">
        <v>969</v>
      </c>
      <c r="G331" t="s">
        <v>2010</v>
      </c>
      <c r="I331" s="8" t="e">
        <f>MATCH(A331,'GC-B cell original comparision'!$E$6:$E$237,0)</f>
        <v>#N/A</v>
      </c>
    </row>
    <row r="332" spans="1:9">
      <c r="A332">
        <v>10605766</v>
      </c>
      <c r="B332">
        <v>2.7649316736888698</v>
      </c>
      <c r="C332">
        <v>0.44504054678925498</v>
      </c>
      <c r="D332" t="s">
        <v>970</v>
      </c>
      <c r="E332" t="s">
        <v>971</v>
      </c>
      <c r="F332" t="s">
        <v>1139</v>
      </c>
      <c r="G332" t="s">
        <v>2010</v>
      </c>
      <c r="I332" s="8" t="e">
        <f>MATCH(A332,'GC-B cell original comparision'!$E$6:$E$237,0)</f>
        <v>#N/A</v>
      </c>
    </row>
    <row r="333" spans="1:9">
      <c r="A333">
        <v>10485466</v>
      </c>
      <c r="B333">
        <v>2.76450933532736</v>
      </c>
      <c r="C333">
        <v>1.4094920855555</v>
      </c>
      <c r="D333" t="s">
        <v>1140</v>
      </c>
      <c r="E333" t="s">
        <v>1141</v>
      </c>
      <c r="F333" t="s">
        <v>1142</v>
      </c>
      <c r="G333" t="s">
        <v>2010</v>
      </c>
      <c r="I333" s="8" t="e">
        <f>MATCH(A333,'GC-B cell original comparision'!$E$6:$E$237,0)</f>
        <v>#N/A</v>
      </c>
    </row>
    <row r="334" spans="1:9">
      <c r="A334">
        <v>10367337</v>
      </c>
      <c r="B334">
        <v>2.7639497341814399</v>
      </c>
      <c r="C334">
        <v>1.06616661935184</v>
      </c>
      <c r="D334" t="s">
        <v>1143</v>
      </c>
      <c r="E334" t="s">
        <v>1144</v>
      </c>
      <c r="F334" t="s">
        <v>1145</v>
      </c>
      <c r="G334" t="s">
        <v>2010</v>
      </c>
      <c r="I334" s="8" t="e">
        <f>MATCH(A334,'GC-B cell original comparision'!$E$6:$E$237,0)</f>
        <v>#N/A</v>
      </c>
    </row>
    <row r="335" spans="1:9">
      <c r="A335">
        <v>10363163</v>
      </c>
      <c r="B335">
        <v>2.7597961473352099</v>
      </c>
      <c r="C335">
        <v>0.35686995558903001</v>
      </c>
      <c r="D335" t="s">
        <v>1146</v>
      </c>
      <c r="E335" t="s">
        <v>1147</v>
      </c>
      <c r="F335" t="s">
        <v>980</v>
      </c>
      <c r="G335" t="s">
        <v>2010</v>
      </c>
      <c r="I335" s="8">
        <f>MATCH(A335,'GC-B cell original comparision'!$E$6:$E$237,0)</f>
        <v>175</v>
      </c>
    </row>
    <row r="336" spans="1:9">
      <c r="A336">
        <v>10382243</v>
      </c>
      <c r="B336">
        <v>2.75786633551323</v>
      </c>
      <c r="C336">
        <v>0.83372653913262795</v>
      </c>
      <c r="D336" t="s">
        <v>981</v>
      </c>
      <c r="E336" t="s">
        <v>982</v>
      </c>
      <c r="F336" t="s">
        <v>819</v>
      </c>
      <c r="G336" t="s">
        <v>2010</v>
      </c>
      <c r="I336" s="8" t="e">
        <f>MATCH(A336,'GC-B cell original comparision'!$E$6:$E$237,0)</f>
        <v>#N/A</v>
      </c>
    </row>
    <row r="337" spans="1:9">
      <c r="A337">
        <v>10514366</v>
      </c>
      <c r="B337">
        <v>2.75561580300303</v>
      </c>
      <c r="C337">
        <v>0.53520745942349002</v>
      </c>
      <c r="D337" t="s">
        <v>1163</v>
      </c>
      <c r="E337" t="s">
        <v>1164</v>
      </c>
      <c r="F337" t="s">
        <v>1165</v>
      </c>
      <c r="G337" t="s">
        <v>2010</v>
      </c>
      <c r="I337" s="8" t="e">
        <f>MATCH(A337,'GC-B cell original comparision'!$E$6:$E$237,0)</f>
        <v>#N/A</v>
      </c>
    </row>
    <row r="338" spans="1:9">
      <c r="A338">
        <v>10396278</v>
      </c>
      <c r="B338">
        <v>2.7497168353619501</v>
      </c>
      <c r="C338">
        <v>0.59415773051965703</v>
      </c>
      <c r="D338" t="s">
        <v>820</v>
      </c>
      <c r="E338" t="s">
        <v>821</v>
      </c>
      <c r="F338" t="s">
        <v>822</v>
      </c>
      <c r="G338" t="s">
        <v>2010</v>
      </c>
      <c r="I338" s="8" t="e">
        <f>MATCH(A338,'GC-B cell original comparision'!$E$6:$E$237,0)</f>
        <v>#N/A</v>
      </c>
    </row>
    <row r="339" spans="1:9">
      <c r="A339">
        <v>10497105</v>
      </c>
      <c r="B339">
        <v>2.7441930226811801</v>
      </c>
      <c r="C339">
        <v>1.26793945479419</v>
      </c>
      <c r="D339" t="s">
        <v>823</v>
      </c>
      <c r="E339" t="s">
        <v>824</v>
      </c>
      <c r="F339" t="s">
        <v>825</v>
      </c>
      <c r="G339" t="s">
        <v>2010</v>
      </c>
      <c r="I339" s="8" t="e">
        <f>MATCH(A339,'GC-B cell original comparision'!$E$6:$E$237,0)</f>
        <v>#N/A</v>
      </c>
    </row>
    <row r="340" spans="1:9">
      <c r="A340">
        <v>10573865</v>
      </c>
      <c r="B340">
        <v>2.7436826615993799</v>
      </c>
      <c r="C340">
        <v>0.84963800378209697</v>
      </c>
      <c r="D340" t="s">
        <v>826</v>
      </c>
      <c r="E340" t="s">
        <v>827</v>
      </c>
      <c r="F340" t="s">
        <v>828</v>
      </c>
      <c r="G340" t="s">
        <v>2060</v>
      </c>
      <c r="I340" s="8" t="e">
        <f>MATCH(A340,'GC-B cell original comparision'!$E$6:$E$237,0)</f>
        <v>#N/A</v>
      </c>
    </row>
    <row r="341" spans="1:9">
      <c r="A341">
        <v>10512061</v>
      </c>
      <c r="B341">
        <v>2.7421371711842801</v>
      </c>
      <c r="C341">
        <v>0.74468466825717405</v>
      </c>
      <c r="D341" t="s">
        <v>829</v>
      </c>
      <c r="E341" t="s">
        <v>830</v>
      </c>
      <c r="F341" t="s">
        <v>831</v>
      </c>
      <c r="G341" t="s">
        <v>2015</v>
      </c>
      <c r="I341" s="8">
        <f>MATCH(A341,'GC-B cell original comparision'!$E$6:$E$237,0)</f>
        <v>181</v>
      </c>
    </row>
    <row r="342" spans="1:9">
      <c r="A342">
        <v>10437432</v>
      </c>
      <c r="B342">
        <v>2.7401830533378</v>
      </c>
      <c r="C342">
        <v>0.59004742301789703</v>
      </c>
      <c r="D342" t="s">
        <v>832</v>
      </c>
      <c r="E342" t="s">
        <v>833</v>
      </c>
      <c r="F342" t="s">
        <v>834</v>
      </c>
      <c r="G342" t="s">
        <v>2010</v>
      </c>
      <c r="I342" s="8" t="e">
        <f>MATCH(A342,'GC-B cell original comparision'!$E$6:$E$237,0)</f>
        <v>#N/A</v>
      </c>
    </row>
    <row r="343" spans="1:9">
      <c r="A343">
        <v>10455873</v>
      </c>
      <c r="B343">
        <v>2.7387068103563599</v>
      </c>
      <c r="C343">
        <v>0.79060957445808</v>
      </c>
      <c r="D343" t="s">
        <v>835</v>
      </c>
      <c r="E343" t="s">
        <v>836</v>
      </c>
      <c r="F343" t="s">
        <v>1003</v>
      </c>
      <c r="G343" t="s">
        <v>2010</v>
      </c>
      <c r="I343" s="8" t="e">
        <f>MATCH(A343,'GC-B cell original comparision'!$E$6:$E$237,0)</f>
        <v>#N/A</v>
      </c>
    </row>
    <row r="344" spans="1:9">
      <c r="A344">
        <v>10402981</v>
      </c>
      <c r="B344">
        <v>2.73229334284192</v>
      </c>
      <c r="C344">
        <v>0.19420658321217099</v>
      </c>
      <c r="D344" t="s">
        <v>1004</v>
      </c>
      <c r="E344" t="s">
        <v>1005</v>
      </c>
      <c r="F344" t="s">
        <v>1006</v>
      </c>
      <c r="G344" t="s">
        <v>2010</v>
      </c>
      <c r="I344" s="8">
        <f>MATCH(A344,'GC-B cell original comparision'!$E$6:$E$237,0)</f>
        <v>221</v>
      </c>
    </row>
    <row r="345" spans="1:9">
      <c r="A345">
        <v>10395287</v>
      </c>
      <c r="B345">
        <v>2.73049547607055</v>
      </c>
      <c r="C345">
        <v>0.87851743409629501</v>
      </c>
      <c r="D345" t="s">
        <v>1007</v>
      </c>
      <c r="E345" t="s">
        <v>1008</v>
      </c>
      <c r="F345" t="s">
        <v>1009</v>
      </c>
      <c r="G345" t="s">
        <v>2010</v>
      </c>
      <c r="I345" s="8" t="e">
        <f>MATCH(A345,'GC-B cell original comparision'!$E$6:$E$237,0)</f>
        <v>#N/A</v>
      </c>
    </row>
    <row r="346" spans="1:9">
      <c r="A346">
        <v>10443201</v>
      </c>
      <c r="B346">
        <v>2.7288599700398599</v>
      </c>
      <c r="C346">
        <v>1.0111154666598401</v>
      </c>
      <c r="D346" t="s">
        <v>1010</v>
      </c>
      <c r="E346" t="s">
        <v>1011</v>
      </c>
      <c r="F346" t="s">
        <v>1012</v>
      </c>
      <c r="G346" t="s">
        <v>2010</v>
      </c>
      <c r="I346" s="8" t="e">
        <f>MATCH(A346,'GC-B cell original comparision'!$E$6:$E$237,0)</f>
        <v>#N/A</v>
      </c>
    </row>
    <row r="347" spans="1:9">
      <c r="A347">
        <v>10592790</v>
      </c>
      <c r="B347">
        <v>2.7283761285147898</v>
      </c>
      <c r="C347">
        <v>0.756919137287693</v>
      </c>
      <c r="D347" t="s">
        <v>1013</v>
      </c>
      <c r="E347" t="s">
        <v>1014</v>
      </c>
      <c r="F347" t="s">
        <v>1015</v>
      </c>
      <c r="G347" t="s">
        <v>2010</v>
      </c>
      <c r="I347" s="8">
        <f>MATCH(A347,'GC-B cell original comparision'!$E$6:$E$237,0)</f>
        <v>208</v>
      </c>
    </row>
    <row r="348" spans="1:9">
      <c r="A348">
        <v>10494402</v>
      </c>
      <c r="B348">
        <v>2.7246589303877702</v>
      </c>
      <c r="C348">
        <v>0.47501617777541699</v>
      </c>
      <c r="D348" t="s">
        <v>1016</v>
      </c>
      <c r="E348" t="s">
        <v>1017</v>
      </c>
      <c r="F348" t="s">
        <v>2161</v>
      </c>
      <c r="G348" t="s">
        <v>2010</v>
      </c>
      <c r="I348" s="8">
        <f>MATCH(A348,'GC-B cell original comparision'!$E$6:$E$237,0)</f>
        <v>106</v>
      </c>
    </row>
    <row r="349" spans="1:9">
      <c r="A349">
        <v>10360443</v>
      </c>
      <c r="B349">
        <v>2.7225809179069298</v>
      </c>
      <c r="C349">
        <v>1.25174024087636</v>
      </c>
      <c r="D349" t="s">
        <v>1018</v>
      </c>
      <c r="E349" t="s">
        <v>1019</v>
      </c>
      <c r="F349" t="s">
        <v>852</v>
      </c>
      <c r="G349" t="s">
        <v>2010</v>
      </c>
      <c r="I349" s="8" t="e">
        <f>MATCH(A349,'GC-B cell original comparision'!$E$6:$E$237,0)</f>
        <v>#N/A</v>
      </c>
    </row>
    <row r="350" spans="1:9">
      <c r="A350">
        <v>10412378</v>
      </c>
      <c r="B350">
        <v>2.7173331297333201</v>
      </c>
      <c r="C350">
        <v>0.96324977991876504</v>
      </c>
      <c r="D350" t="s">
        <v>853</v>
      </c>
      <c r="E350" t="s">
        <v>854</v>
      </c>
      <c r="F350" t="s">
        <v>855</v>
      </c>
      <c r="G350" t="s">
        <v>2010</v>
      </c>
      <c r="I350" s="8" t="e">
        <f>MATCH(A350,'GC-B cell original comparision'!$E$6:$E$237,0)</f>
        <v>#N/A</v>
      </c>
    </row>
    <row r="351" spans="1:9">
      <c r="A351">
        <v>10593060</v>
      </c>
      <c r="B351">
        <v>2.71249373384213</v>
      </c>
      <c r="C351">
        <v>0.68443877075918602</v>
      </c>
      <c r="D351" t="s">
        <v>856</v>
      </c>
      <c r="E351" t="s">
        <v>857</v>
      </c>
      <c r="F351" t="s">
        <v>858</v>
      </c>
      <c r="G351" t="s">
        <v>2010</v>
      </c>
      <c r="I351" s="8">
        <f>MATCH(A351,'GC-B cell original comparision'!$E$6:$E$237,0)</f>
        <v>218</v>
      </c>
    </row>
    <row r="352" spans="1:9">
      <c r="A352">
        <v>10405263</v>
      </c>
      <c r="B352">
        <v>2.6988612639286802</v>
      </c>
      <c r="C352">
        <v>0.80400306210144501</v>
      </c>
      <c r="D352" t="s">
        <v>859</v>
      </c>
      <c r="E352" t="s">
        <v>860</v>
      </c>
      <c r="F352" t="s">
        <v>861</v>
      </c>
      <c r="G352" t="s">
        <v>2010</v>
      </c>
      <c r="I352" s="8" t="e">
        <f>MATCH(A352,'GC-B cell original comparision'!$E$6:$E$237,0)</f>
        <v>#N/A</v>
      </c>
    </row>
    <row r="353" spans="1:9">
      <c r="A353">
        <v>10366337</v>
      </c>
      <c r="B353">
        <v>2.69795521672697</v>
      </c>
      <c r="C353">
        <v>0.41649781949347398</v>
      </c>
      <c r="D353" t="s">
        <v>862</v>
      </c>
      <c r="E353" t="s">
        <v>863</v>
      </c>
      <c r="F353" t="s">
        <v>864</v>
      </c>
      <c r="G353" t="s">
        <v>2010</v>
      </c>
      <c r="I353" s="8" t="e">
        <f>MATCH(A353,'GC-B cell original comparision'!$E$6:$E$237,0)</f>
        <v>#N/A</v>
      </c>
    </row>
    <row r="354" spans="1:9">
      <c r="A354">
        <v>10564857</v>
      </c>
      <c r="B354">
        <v>2.68767923688032</v>
      </c>
      <c r="C354">
        <v>0.83218432577738999</v>
      </c>
      <c r="D354" t="s">
        <v>865</v>
      </c>
      <c r="E354" t="s">
        <v>866</v>
      </c>
      <c r="F354" t="s">
        <v>867</v>
      </c>
      <c r="G354" t="s">
        <v>2010</v>
      </c>
      <c r="I354" s="8" t="e">
        <f>MATCH(A354,'GC-B cell original comparision'!$E$6:$E$237,0)</f>
        <v>#N/A</v>
      </c>
    </row>
    <row r="355" spans="1:9">
      <c r="A355">
        <v>10350090</v>
      </c>
      <c r="B355">
        <v>2.6855883056371899</v>
      </c>
      <c r="C355">
        <v>0.85305060539252597</v>
      </c>
      <c r="D355" t="s">
        <v>868</v>
      </c>
      <c r="E355" t="s">
        <v>869</v>
      </c>
      <c r="F355" t="s">
        <v>870</v>
      </c>
      <c r="G355" t="s">
        <v>2010</v>
      </c>
      <c r="I355" s="8">
        <f>MATCH(A355,'GC-B cell original comparision'!$E$6:$E$237,0)</f>
        <v>211</v>
      </c>
    </row>
    <row r="356" spans="1:9">
      <c r="A356">
        <v>10577757</v>
      </c>
      <c r="B356">
        <v>2.68408979659963</v>
      </c>
      <c r="C356">
        <v>0.82800466120300797</v>
      </c>
      <c r="D356" t="s">
        <v>871</v>
      </c>
      <c r="E356" t="s">
        <v>872</v>
      </c>
      <c r="F356" t="s">
        <v>1040</v>
      </c>
      <c r="G356" t="s">
        <v>2010</v>
      </c>
      <c r="I356" s="8" t="e">
        <f>MATCH(A356,'GC-B cell original comparision'!$E$6:$E$237,0)</f>
        <v>#N/A</v>
      </c>
    </row>
    <row r="357" spans="1:9">
      <c r="A357">
        <v>10535894</v>
      </c>
      <c r="B357">
        <v>2.6817251381470002</v>
      </c>
      <c r="C357">
        <v>0.82446061576753604</v>
      </c>
      <c r="D357" t="s">
        <v>1041</v>
      </c>
      <c r="E357" t="s">
        <v>1042</v>
      </c>
      <c r="F357" t="s">
        <v>1043</v>
      </c>
      <c r="G357" t="s">
        <v>2010</v>
      </c>
      <c r="I357" s="8" t="e">
        <f>MATCH(A357,'GC-B cell original comparision'!$E$6:$E$237,0)</f>
        <v>#N/A</v>
      </c>
    </row>
    <row r="358" spans="1:9">
      <c r="A358">
        <v>10577792</v>
      </c>
      <c r="B358">
        <v>2.6791386219597801</v>
      </c>
      <c r="C358">
        <v>1.2189688230769999</v>
      </c>
      <c r="D358" t="s">
        <v>1044</v>
      </c>
      <c r="E358" t="s">
        <v>1045</v>
      </c>
      <c r="F358" t="s">
        <v>882</v>
      </c>
      <c r="G358" t="s">
        <v>2010</v>
      </c>
      <c r="I358" s="8" t="e">
        <f>MATCH(A358,'GC-B cell original comparision'!$E$6:$E$237,0)</f>
        <v>#N/A</v>
      </c>
    </row>
    <row r="359" spans="1:9">
      <c r="A359">
        <v>10426301</v>
      </c>
      <c r="B359">
        <v>2.6744389292225801</v>
      </c>
      <c r="C359">
        <v>0.848861845208701</v>
      </c>
      <c r="D359" s="10" t="s">
        <v>2038</v>
      </c>
      <c r="E359" s="10"/>
      <c r="I359" s="8">
        <f>MATCH(A359,'GC-B cell original comparision'!$E$6:$E$237,0)</f>
        <v>196</v>
      </c>
    </row>
    <row r="360" spans="1:9">
      <c r="A360">
        <v>10514658</v>
      </c>
      <c r="B360">
        <v>2.6667104605371201</v>
      </c>
      <c r="C360">
        <v>0.77710332643646596</v>
      </c>
      <c r="D360" s="10" t="s">
        <v>2038</v>
      </c>
      <c r="E360" s="10"/>
      <c r="I360" s="8" t="e">
        <f>MATCH(A360,'GC-B cell original comparision'!$E$6:$E$237,0)</f>
        <v>#N/A</v>
      </c>
    </row>
    <row r="361" spans="1:9">
      <c r="A361">
        <v>10375975</v>
      </c>
      <c r="B361">
        <v>2.6611955952241901</v>
      </c>
      <c r="C361">
        <v>0.38579460436332702</v>
      </c>
      <c r="D361" t="s">
        <v>883</v>
      </c>
      <c r="E361" t="s">
        <v>884</v>
      </c>
      <c r="F361" t="s">
        <v>2070</v>
      </c>
      <c r="G361" t="s">
        <v>2010</v>
      </c>
      <c r="I361" s="8">
        <f>MATCH(A361,'GC-B cell original comparision'!$E$6:$E$237,0)</f>
        <v>204</v>
      </c>
    </row>
    <row r="362" spans="1:9">
      <c r="A362">
        <v>10515164</v>
      </c>
      <c r="B362">
        <v>2.6594866973518698</v>
      </c>
      <c r="C362">
        <v>0.589003459721539</v>
      </c>
      <c r="D362" t="s">
        <v>885</v>
      </c>
      <c r="E362" t="s">
        <v>886</v>
      </c>
      <c r="F362" t="s">
        <v>887</v>
      </c>
      <c r="G362" t="s">
        <v>2010</v>
      </c>
      <c r="I362" s="8" t="e">
        <f>MATCH(A362,'GC-B cell original comparision'!$E$6:$E$237,0)</f>
        <v>#N/A</v>
      </c>
    </row>
    <row r="363" spans="1:9">
      <c r="A363">
        <v>10438575</v>
      </c>
      <c r="B363">
        <v>2.6438324789880299</v>
      </c>
      <c r="C363">
        <v>0.88905828749298499</v>
      </c>
      <c r="D363" t="s">
        <v>888</v>
      </c>
      <c r="E363" t="s">
        <v>889</v>
      </c>
      <c r="F363" t="s">
        <v>890</v>
      </c>
      <c r="G363" t="s">
        <v>2010</v>
      </c>
      <c r="I363" s="8" t="e">
        <f>MATCH(A363,'GC-B cell original comparision'!$E$6:$E$237,0)</f>
        <v>#N/A</v>
      </c>
    </row>
    <row r="364" spans="1:9">
      <c r="A364">
        <v>10411019</v>
      </c>
      <c r="B364">
        <v>2.6426534067893002</v>
      </c>
      <c r="C364">
        <v>0.70316747729199103</v>
      </c>
      <c r="D364" t="s">
        <v>891</v>
      </c>
      <c r="E364" t="s">
        <v>1057</v>
      </c>
      <c r="F364" t="s">
        <v>1058</v>
      </c>
      <c r="G364" t="s">
        <v>2010</v>
      </c>
      <c r="I364" s="8" t="e">
        <f>MATCH(A364,'GC-B cell original comparision'!$E$6:$E$237,0)</f>
        <v>#N/A</v>
      </c>
    </row>
    <row r="365" spans="1:9">
      <c r="A365">
        <v>10603785</v>
      </c>
      <c r="B365">
        <v>2.6389101673655699</v>
      </c>
      <c r="C365">
        <v>0.711388680859808</v>
      </c>
      <c r="D365" t="s">
        <v>1059</v>
      </c>
      <c r="E365" t="s">
        <v>1060</v>
      </c>
      <c r="F365" t="s">
        <v>1061</v>
      </c>
      <c r="G365" t="s">
        <v>2010</v>
      </c>
      <c r="I365" s="8" t="e">
        <f>MATCH(A365,'GC-B cell original comparision'!$E$6:$E$237,0)</f>
        <v>#N/A</v>
      </c>
    </row>
    <row r="366" spans="1:9">
      <c r="A366">
        <v>10431856</v>
      </c>
      <c r="B366">
        <v>2.6250237079498802</v>
      </c>
      <c r="C366">
        <v>9.5380827312970803E-2</v>
      </c>
      <c r="D366" t="s">
        <v>1062</v>
      </c>
      <c r="E366" t="s">
        <v>1063</v>
      </c>
      <c r="F366" t="s">
        <v>731</v>
      </c>
      <c r="G366" t="s">
        <v>2010</v>
      </c>
      <c r="I366" s="8">
        <f>MATCH(A366,'GC-B cell original comparision'!$E$6:$E$237,0)</f>
        <v>186</v>
      </c>
    </row>
    <row r="367" spans="1:9">
      <c r="A367">
        <v>10498309</v>
      </c>
      <c r="B367">
        <v>2.62145043678892</v>
      </c>
      <c r="C367">
        <v>0.34417213813787501</v>
      </c>
      <c r="D367" t="s">
        <v>732</v>
      </c>
      <c r="E367" t="s">
        <v>733</v>
      </c>
      <c r="F367" t="s">
        <v>734</v>
      </c>
      <c r="G367" t="s">
        <v>2010</v>
      </c>
      <c r="I367" s="8" t="e">
        <f>MATCH(A367,'GC-B cell original comparision'!$E$6:$E$237,0)</f>
        <v>#N/A</v>
      </c>
    </row>
    <row r="368" spans="1:9">
      <c r="A368">
        <v>10566067</v>
      </c>
      <c r="B368">
        <v>2.6189183994148499</v>
      </c>
      <c r="C368">
        <v>0.20827683143538001</v>
      </c>
      <c r="D368" t="s">
        <v>735</v>
      </c>
      <c r="E368" t="s">
        <v>736</v>
      </c>
      <c r="F368" t="s">
        <v>737</v>
      </c>
      <c r="G368" t="s">
        <v>2010</v>
      </c>
      <c r="I368" s="8">
        <f>MATCH(A368,'GC-B cell original comparision'!$E$6:$E$237,0)</f>
        <v>202</v>
      </c>
    </row>
    <row r="369" spans="1:9">
      <c r="A369">
        <v>10425923</v>
      </c>
      <c r="B369">
        <v>2.6108951034497201</v>
      </c>
      <c r="C369">
        <v>0.77244659393134696</v>
      </c>
      <c r="D369" t="s">
        <v>738</v>
      </c>
      <c r="E369" t="s">
        <v>739</v>
      </c>
      <c r="F369" t="s">
        <v>740</v>
      </c>
      <c r="G369" t="s">
        <v>2010</v>
      </c>
      <c r="I369" s="8" t="e">
        <f>MATCH(A369,'GC-B cell original comparision'!$E$6:$E$237,0)</f>
        <v>#N/A</v>
      </c>
    </row>
    <row r="370" spans="1:9">
      <c r="A370">
        <v>10503845</v>
      </c>
      <c r="B370">
        <v>2.6100749226094702</v>
      </c>
      <c r="C370">
        <v>0.47080793344751298</v>
      </c>
      <c r="D370" t="s">
        <v>741</v>
      </c>
      <c r="E370" t="s">
        <v>742</v>
      </c>
      <c r="F370" t="s">
        <v>743</v>
      </c>
      <c r="G370" t="s">
        <v>2010</v>
      </c>
      <c r="I370" s="8" t="e">
        <f>MATCH(A370,'GC-B cell original comparision'!$E$6:$E$237,0)</f>
        <v>#N/A</v>
      </c>
    </row>
    <row r="371" spans="1:9">
      <c r="A371">
        <v>10540507</v>
      </c>
      <c r="B371">
        <v>2.6067967417854101</v>
      </c>
      <c r="C371">
        <v>0.87580847835216902</v>
      </c>
      <c r="D371" t="s">
        <v>853</v>
      </c>
      <c r="E371" t="s">
        <v>854</v>
      </c>
      <c r="F371" t="s">
        <v>855</v>
      </c>
      <c r="G371" t="s">
        <v>2010</v>
      </c>
      <c r="I371" s="8" t="e">
        <f>MATCH(A371,'GC-B cell original comparision'!$E$6:$E$237,0)</f>
        <v>#N/A</v>
      </c>
    </row>
    <row r="372" spans="1:9">
      <c r="A372">
        <v>10363962</v>
      </c>
      <c r="B372">
        <v>2.6047250931662198</v>
      </c>
      <c r="C372">
        <v>0.54406605366312699</v>
      </c>
      <c r="D372" t="s">
        <v>744</v>
      </c>
      <c r="E372" t="s">
        <v>745</v>
      </c>
      <c r="F372" t="s">
        <v>746</v>
      </c>
      <c r="G372" t="s">
        <v>2010</v>
      </c>
      <c r="I372" s="8" t="e">
        <f>MATCH(A372,'GC-B cell original comparision'!$E$6:$E$237,0)</f>
        <v>#N/A</v>
      </c>
    </row>
    <row r="373" spans="1:9">
      <c r="A373">
        <v>10595614</v>
      </c>
      <c r="B373">
        <v>2.6006600629049701</v>
      </c>
      <c r="C373">
        <v>0.72943666553375797</v>
      </c>
      <c r="D373" t="s">
        <v>747</v>
      </c>
      <c r="E373" t="s">
        <v>914</v>
      </c>
      <c r="F373" t="s">
        <v>915</v>
      </c>
      <c r="G373" t="s">
        <v>2010</v>
      </c>
      <c r="I373" s="8">
        <f>MATCH(A373,'GC-B cell original comparision'!$E$6:$E$237,0)</f>
        <v>176</v>
      </c>
    </row>
    <row r="374" spans="1:9">
      <c r="A374">
        <v>10542691</v>
      </c>
      <c r="B374">
        <v>2.5942079589874401</v>
      </c>
      <c r="C374">
        <v>0.39955633216301301</v>
      </c>
      <c r="D374" t="s">
        <v>916</v>
      </c>
      <c r="E374" t="s">
        <v>917</v>
      </c>
      <c r="F374" t="s">
        <v>918</v>
      </c>
      <c r="G374" t="s">
        <v>2010</v>
      </c>
      <c r="I374" s="8" t="e">
        <f>MATCH(A374,'GC-B cell original comparision'!$E$6:$E$237,0)</f>
        <v>#N/A</v>
      </c>
    </row>
    <row r="375" spans="1:9">
      <c r="A375">
        <v>10372629</v>
      </c>
      <c r="B375">
        <v>2.59312579804282</v>
      </c>
      <c r="C375">
        <v>1.20821529372213</v>
      </c>
      <c r="D375" t="s">
        <v>919</v>
      </c>
      <c r="E375" t="s">
        <v>920</v>
      </c>
      <c r="F375" t="s">
        <v>921</v>
      </c>
      <c r="G375" t="s">
        <v>2010</v>
      </c>
      <c r="I375" s="8" t="e">
        <f>MATCH(A375,'GC-B cell original comparision'!$E$6:$E$237,0)</f>
        <v>#N/A</v>
      </c>
    </row>
    <row r="376" spans="1:9">
      <c r="A376">
        <v>10509163</v>
      </c>
      <c r="B376">
        <v>2.5898010365819601</v>
      </c>
      <c r="C376">
        <v>0.72206883321936399</v>
      </c>
      <c r="D376" t="s">
        <v>922</v>
      </c>
      <c r="E376" t="s">
        <v>923</v>
      </c>
      <c r="F376" t="s">
        <v>924</v>
      </c>
      <c r="G376" t="s">
        <v>2010</v>
      </c>
      <c r="I376" s="8" t="e">
        <f>MATCH(A376,'GC-B cell original comparision'!$E$6:$E$237,0)</f>
        <v>#N/A</v>
      </c>
    </row>
    <row r="377" spans="1:9">
      <c r="A377">
        <v>10451547</v>
      </c>
      <c r="B377">
        <v>2.58755675308239</v>
      </c>
      <c r="C377">
        <v>1.01188804647522</v>
      </c>
      <c r="D377" s="10" t="s">
        <v>2038</v>
      </c>
      <c r="E377" s="10"/>
      <c r="I377" s="8" t="e">
        <f>MATCH(A377,'GC-B cell original comparision'!$E$6:$E$237,0)</f>
        <v>#N/A</v>
      </c>
    </row>
    <row r="378" spans="1:9">
      <c r="A378">
        <v>10560202</v>
      </c>
      <c r="B378">
        <v>2.5848527713480598</v>
      </c>
      <c r="C378">
        <v>0.12856097465345601</v>
      </c>
      <c r="D378" t="s">
        <v>925</v>
      </c>
      <c r="E378" t="s">
        <v>926</v>
      </c>
      <c r="F378" t="s">
        <v>927</v>
      </c>
      <c r="G378" t="s">
        <v>2010</v>
      </c>
      <c r="I378" s="8" t="e">
        <f>MATCH(A378,'GC-B cell original comparision'!$E$6:$E$237,0)</f>
        <v>#N/A</v>
      </c>
    </row>
    <row r="379" spans="1:9">
      <c r="A379">
        <v>10447141</v>
      </c>
      <c r="B379">
        <v>2.58432410225033</v>
      </c>
      <c r="C379">
        <v>0.91226574064364596</v>
      </c>
      <c r="D379" t="s">
        <v>928</v>
      </c>
      <c r="E379" t="s">
        <v>929</v>
      </c>
      <c r="F379" t="s">
        <v>766</v>
      </c>
      <c r="G379" t="s">
        <v>2010</v>
      </c>
      <c r="I379" s="8" t="e">
        <f>MATCH(A379,'GC-B cell original comparision'!$E$6:$E$237,0)</f>
        <v>#N/A</v>
      </c>
    </row>
    <row r="380" spans="1:9">
      <c r="A380">
        <v>10399265</v>
      </c>
      <c r="B380">
        <v>2.5786449037866301</v>
      </c>
      <c r="C380">
        <v>0.47831813222112901</v>
      </c>
      <c r="D380" t="s">
        <v>767</v>
      </c>
      <c r="E380" t="s">
        <v>768</v>
      </c>
      <c r="F380" t="s">
        <v>769</v>
      </c>
      <c r="G380" t="s">
        <v>2010</v>
      </c>
      <c r="I380" s="8" t="e">
        <f>MATCH(A380,'GC-B cell original comparision'!$E$6:$E$237,0)</f>
        <v>#N/A</v>
      </c>
    </row>
    <row r="381" spans="1:9">
      <c r="A381">
        <v>10511042</v>
      </c>
      <c r="B381">
        <v>2.5771480436099798</v>
      </c>
      <c r="C381">
        <v>0.149079142616864</v>
      </c>
      <c r="D381" t="s">
        <v>770</v>
      </c>
      <c r="E381" t="s">
        <v>771</v>
      </c>
      <c r="F381" t="s">
        <v>772</v>
      </c>
      <c r="G381" t="s">
        <v>2010</v>
      </c>
      <c r="I381" s="8">
        <f>MATCH(A381,'GC-B cell original comparision'!$E$6:$E$237,0)</f>
        <v>230</v>
      </c>
    </row>
    <row r="382" spans="1:9">
      <c r="A382">
        <v>10525893</v>
      </c>
      <c r="B382">
        <v>2.57698615247855</v>
      </c>
      <c r="C382">
        <v>0.21850788392262499</v>
      </c>
      <c r="D382" t="s">
        <v>773</v>
      </c>
      <c r="E382" t="s">
        <v>774</v>
      </c>
      <c r="F382" t="s">
        <v>775</v>
      </c>
      <c r="G382" t="s">
        <v>2010</v>
      </c>
      <c r="I382" s="8" t="e">
        <f>MATCH(A382,'GC-B cell original comparision'!$E$6:$E$237,0)</f>
        <v>#N/A</v>
      </c>
    </row>
    <row r="383" spans="1:9">
      <c r="A383">
        <v>10541091</v>
      </c>
      <c r="B383">
        <v>2.5768477364707101</v>
      </c>
      <c r="C383">
        <v>0.16801119540564499</v>
      </c>
      <c r="D383" t="s">
        <v>776</v>
      </c>
      <c r="E383" t="s">
        <v>777</v>
      </c>
      <c r="F383" t="s">
        <v>778</v>
      </c>
      <c r="G383" t="s">
        <v>2010</v>
      </c>
      <c r="I383" s="8" t="e">
        <f>MATCH(A383,'GC-B cell original comparision'!$E$6:$E$237,0)</f>
        <v>#N/A</v>
      </c>
    </row>
    <row r="384" spans="1:9">
      <c r="A384">
        <v>10458816</v>
      </c>
      <c r="B384">
        <v>2.57581743119444</v>
      </c>
      <c r="C384">
        <v>0.51852310138213997</v>
      </c>
      <c r="D384" t="s">
        <v>779</v>
      </c>
      <c r="E384" t="s">
        <v>780</v>
      </c>
      <c r="F384" t="s">
        <v>781</v>
      </c>
      <c r="G384" t="s">
        <v>2010</v>
      </c>
      <c r="I384" s="8" t="e">
        <f>MATCH(A384,'GC-B cell original comparision'!$E$6:$E$237,0)</f>
        <v>#N/A</v>
      </c>
    </row>
    <row r="385" spans="1:9">
      <c r="A385">
        <v>10579335</v>
      </c>
      <c r="B385">
        <v>2.5677254735750998</v>
      </c>
      <c r="C385">
        <v>0.344364775206767</v>
      </c>
      <c r="D385" t="s">
        <v>782</v>
      </c>
      <c r="E385" t="s">
        <v>783</v>
      </c>
      <c r="F385" t="s">
        <v>784</v>
      </c>
      <c r="G385" t="s">
        <v>2010</v>
      </c>
      <c r="I385" s="8" t="e">
        <f>MATCH(A385,'GC-B cell original comparision'!$E$6:$E$237,0)</f>
        <v>#N/A</v>
      </c>
    </row>
    <row r="386" spans="1:9">
      <c r="A386">
        <v>10434869</v>
      </c>
      <c r="B386">
        <v>2.5650731074570499</v>
      </c>
      <c r="C386">
        <v>0.46280275234155399</v>
      </c>
      <c r="D386" t="s">
        <v>785</v>
      </c>
      <c r="E386" t="s">
        <v>786</v>
      </c>
      <c r="F386" t="s">
        <v>951</v>
      </c>
      <c r="G386" t="s">
        <v>2010</v>
      </c>
      <c r="I386" s="8" t="e">
        <f>MATCH(A386,'GC-B cell original comparision'!$E$6:$E$237,0)</f>
        <v>#N/A</v>
      </c>
    </row>
    <row r="387" spans="1:9">
      <c r="A387">
        <v>10585680</v>
      </c>
      <c r="B387">
        <v>2.5524635451942701</v>
      </c>
      <c r="C387">
        <v>0.61990453589716199</v>
      </c>
      <c r="D387" t="s">
        <v>952</v>
      </c>
      <c r="E387" t="s">
        <v>953</v>
      </c>
      <c r="F387" t="s">
        <v>954</v>
      </c>
      <c r="G387" t="s">
        <v>2010</v>
      </c>
      <c r="I387" s="8">
        <f>MATCH(A387,'GC-B cell original comparision'!$E$6:$E$237,0)</f>
        <v>228</v>
      </c>
    </row>
    <row r="388" spans="1:9">
      <c r="A388">
        <v>10416793</v>
      </c>
      <c r="B388">
        <v>2.5520645088432401</v>
      </c>
      <c r="C388">
        <v>0.13941937459554499</v>
      </c>
      <c r="D388" t="s">
        <v>955</v>
      </c>
      <c r="E388" t="s">
        <v>956</v>
      </c>
      <c r="F388" t="s">
        <v>957</v>
      </c>
      <c r="G388" t="s">
        <v>2010</v>
      </c>
      <c r="I388" s="8">
        <f>MATCH(A388,'GC-B cell original comparision'!$E$6:$E$237,0)</f>
        <v>123</v>
      </c>
    </row>
    <row r="389" spans="1:9">
      <c r="A389">
        <v>10542993</v>
      </c>
      <c r="B389">
        <v>2.5490843506751699</v>
      </c>
      <c r="C389">
        <v>0.39642487506358498</v>
      </c>
      <c r="D389" t="s">
        <v>958</v>
      </c>
      <c r="E389" t="s">
        <v>959</v>
      </c>
      <c r="F389" t="s">
        <v>796</v>
      </c>
      <c r="G389" t="s">
        <v>2010</v>
      </c>
      <c r="I389" s="8" t="e">
        <f>MATCH(A389,'GC-B cell original comparision'!$E$6:$E$237,0)</f>
        <v>#N/A</v>
      </c>
    </row>
    <row r="390" spans="1:9">
      <c r="A390">
        <v>10478160</v>
      </c>
      <c r="B390">
        <v>2.54540220001671</v>
      </c>
      <c r="C390">
        <v>0.777508495751282</v>
      </c>
      <c r="D390" t="s">
        <v>797</v>
      </c>
      <c r="E390" t="s">
        <v>798</v>
      </c>
      <c r="F390" t="s">
        <v>1932</v>
      </c>
      <c r="G390" t="s">
        <v>2010</v>
      </c>
      <c r="I390" s="8" t="e">
        <f>MATCH(A390,'GC-B cell original comparision'!$E$6:$E$237,0)</f>
        <v>#N/A</v>
      </c>
    </row>
    <row r="391" spans="1:9">
      <c r="A391">
        <v>10398173</v>
      </c>
      <c r="B391">
        <v>2.5414540555715601</v>
      </c>
      <c r="C391">
        <v>1.4965164904022701</v>
      </c>
      <c r="D391" t="s">
        <v>799</v>
      </c>
      <c r="E391" t="s">
        <v>800</v>
      </c>
      <c r="F391" t="s">
        <v>801</v>
      </c>
      <c r="G391" t="s">
        <v>2010</v>
      </c>
      <c r="I391" s="8" t="e">
        <f>MATCH(A391,'GC-B cell original comparision'!$E$6:$E$237,0)</f>
        <v>#N/A</v>
      </c>
    </row>
    <row r="392" spans="1:9">
      <c r="A392">
        <v>10522301</v>
      </c>
      <c r="B392">
        <v>2.5412452462751198</v>
      </c>
      <c r="C392">
        <v>0.35252727077287199</v>
      </c>
      <c r="D392" t="s">
        <v>802</v>
      </c>
      <c r="E392" t="s">
        <v>803</v>
      </c>
      <c r="F392" t="s">
        <v>804</v>
      </c>
      <c r="G392" t="s">
        <v>2010</v>
      </c>
      <c r="I392" s="8" t="e">
        <f>MATCH(A392,'GC-B cell original comparision'!$E$6:$E$237,0)</f>
        <v>#N/A</v>
      </c>
    </row>
    <row r="393" spans="1:9">
      <c r="A393">
        <v>10367744</v>
      </c>
      <c r="B393">
        <v>2.5360190160282601</v>
      </c>
      <c r="C393">
        <v>0.64879728344607301</v>
      </c>
      <c r="D393" s="10" t="s">
        <v>2038</v>
      </c>
      <c r="E393" s="10"/>
      <c r="I393" s="8" t="e">
        <f>MATCH(A393,'GC-B cell original comparision'!$E$6:$E$237,0)</f>
        <v>#N/A</v>
      </c>
    </row>
    <row r="394" spans="1:9">
      <c r="A394">
        <v>10435791</v>
      </c>
      <c r="B394">
        <v>2.53443726874954</v>
      </c>
      <c r="C394">
        <v>0.55236629876726595</v>
      </c>
      <c r="D394" s="10" t="s">
        <v>2038</v>
      </c>
      <c r="E394" s="10"/>
      <c r="I394" s="8" t="e">
        <f>MATCH(A394,'GC-B cell original comparision'!$E$6:$E$237,0)</f>
        <v>#N/A</v>
      </c>
    </row>
    <row r="395" spans="1:9">
      <c r="A395">
        <v>10512851</v>
      </c>
      <c r="B395">
        <v>2.53422345329479</v>
      </c>
      <c r="C395">
        <v>0.120658596772605</v>
      </c>
      <c r="D395" t="s">
        <v>805</v>
      </c>
      <c r="E395" t="s">
        <v>806</v>
      </c>
      <c r="F395" t="s">
        <v>807</v>
      </c>
      <c r="G395" t="s">
        <v>2010</v>
      </c>
      <c r="I395" s="8">
        <f>MATCH(A395,'GC-B cell original comparision'!$E$6:$E$237,0)</f>
        <v>194</v>
      </c>
    </row>
    <row r="396" spans="1:9">
      <c r="A396">
        <v>10508382</v>
      </c>
      <c r="B396">
        <v>2.5255014577188</v>
      </c>
      <c r="C396">
        <v>1.0567190159862401</v>
      </c>
      <c r="D396" t="s">
        <v>808</v>
      </c>
      <c r="E396" t="s">
        <v>809</v>
      </c>
      <c r="F396" t="s">
        <v>810</v>
      </c>
      <c r="G396" t="s">
        <v>2010</v>
      </c>
      <c r="I396" s="8" t="e">
        <f>MATCH(A396,'GC-B cell original comparision'!$E$6:$E$237,0)</f>
        <v>#N/A</v>
      </c>
    </row>
    <row r="397" spans="1:9">
      <c r="A397">
        <v>10360460</v>
      </c>
      <c r="B397">
        <v>2.5234284795689002</v>
      </c>
      <c r="C397">
        <v>0.61075109014381002</v>
      </c>
      <c r="D397" t="s">
        <v>811</v>
      </c>
      <c r="E397" t="s">
        <v>812</v>
      </c>
      <c r="F397" t="s">
        <v>972</v>
      </c>
      <c r="G397" t="s">
        <v>2010</v>
      </c>
      <c r="I397" s="8" t="e">
        <f>MATCH(A397,'GC-B cell original comparision'!$E$6:$E$237,0)</f>
        <v>#N/A</v>
      </c>
    </row>
    <row r="398" spans="1:9">
      <c r="A398">
        <v>10372534</v>
      </c>
      <c r="B398">
        <v>2.5229519336222301</v>
      </c>
      <c r="C398">
        <v>0.85690897312035996</v>
      </c>
      <c r="D398" t="s">
        <v>973</v>
      </c>
      <c r="E398" t="s">
        <v>974</v>
      </c>
      <c r="F398" t="s">
        <v>975</v>
      </c>
      <c r="G398" t="s">
        <v>2010</v>
      </c>
      <c r="I398" s="8" t="e">
        <f>MATCH(A398,'GC-B cell original comparision'!$E$6:$E$237,0)</f>
        <v>#N/A</v>
      </c>
    </row>
    <row r="399" spans="1:9">
      <c r="A399">
        <v>10594758</v>
      </c>
      <c r="B399">
        <v>2.5182265356724698</v>
      </c>
      <c r="C399">
        <v>0.22555398280126601</v>
      </c>
      <c r="D399" t="s">
        <v>976</v>
      </c>
      <c r="E399" t="s">
        <v>977</v>
      </c>
      <c r="F399" t="s">
        <v>2246</v>
      </c>
      <c r="G399" t="s">
        <v>2010</v>
      </c>
      <c r="I399" s="8">
        <f>MATCH(A399,'GC-B cell original comparision'!$E$6:$E$237,0)</f>
        <v>225</v>
      </c>
    </row>
    <row r="400" spans="1:9">
      <c r="A400">
        <v>10602385</v>
      </c>
      <c r="B400">
        <v>2.5111226049598501</v>
      </c>
      <c r="C400">
        <v>0.79586865971040399</v>
      </c>
      <c r="D400" t="s">
        <v>978</v>
      </c>
      <c r="E400" t="s">
        <v>979</v>
      </c>
      <c r="F400" t="s">
        <v>644</v>
      </c>
      <c r="G400" t="s">
        <v>2010</v>
      </c>
      <c r="I400" s="8" t="e">
        <f>MATCH(A400,'GC-B cell original comparision'!$E$6:$E$237,0)</f>
        <v>#N/A</v>
      </c>
    </row>
    <row r="401" spans="1:9">
      <c r="A401">
        <v>10392437</v>
      </c>
      <c r="B401">
        <v>2.5085430587192898</v>
      </c>
      <c r="C401">
        <v>0.41575849523189201</v>
      </c>
      <c r="D401" t="s">
        <v>645</v>
      </c>
      <c r="E401" t="s">
        <v>646</v>
      </c>
      <c r="F401" t="s">
        <v>647</v>
      </c>
      <c r="G401" t="s">
        <v>2010</v>
      </c>
      <c r="I401" s="8" t="e">
        <f>MATCH(A401,'GC-B cell original comparision'!$E$6:$E$237,0)</f>
        <v>#N/A</v>
      </c>
    </row>
    <row r="402" spans="1:9">
      <c r="A402">
        <v>10363599</v>
      </c>
      <c r="B402">
        <v>2.5001548760332799</v>
      </c>
      <c r="C402">
        <v>0.95014916952080597</v>
      </c>
      <c r="D402" t="s">
        <v>648</v>
      </c>
      <c r="E402" t="s">
        <v>649</v>
      </c>
      <c r="F402" t="s">
        <v>650</v>
      </c>
      <c r="G402" t="s">
        <v>2010</v>
      </c>
      <c r="I402" s="8" t="e">
        <f>MATCH(A402,'GC-B cell original comparision'!$E$6:$E$237,0)</f>
        <v>#N/A</v>
      </c>
    </row>
    <row r="403" spans="1:9">
      <c r="A403">
        <v>10428310</v>
      </c>
      <c r="B403">
        <v>2.4991382916161702</v>
      </c>
      <c r="C403">
        <v>0.83619420809588296</v>
      </c>
      <c r="D403" t="s">
        <v>651</v>
      </c>
      <c r="E403" t="s">
        <v>652</v>
      </c>
      <c r="F403" t="s">
        <v>653</v>
      </c>
      <c r="G403" t="s">
        <v>2010</v>
      </c>
      <c r="I403" s="8" t="e">
        <f>MATCH(A403,'GC-B cell original comparision'!$E$6:$E$237,0)</f>
        <v>#N/A</v>
      </c>
    </row>
    <row r="404" spans="1:9">
      <c r="A404">
        <v>10521757</v>
      </c>
      <c r="B404">
        <v>2.4973790890934602</v>
      </c>
      <c r="C404">
        <v>1.0606990596836201</v>
      </c>
      <c r="D404" s="10" t="s">
        <v>2038</v>
      </c>
      <c r="E404" s="10"/>
      <c r="I404" s="8" t="e">
        <f>MATCH(A404,'GC-B cell original comparision'!$E$6:$E$237,0)</f>
        <v>#N/A</v>
      </c>
    </row>
    <row r="405" spans="1:9">
      <c r="A405">
        <v>10499483</v>
      </c>
      <c r="B405">
        <v>2.4891429995859902</v>
      </c>
      <c r="C405">
        <v>0.80240855660354504</v>
      </c>
      <c r="D405" t="s">
        <v>654</v>
      </c>
      <c r="E405" t="s">
        <v>655</v>
      </c>
      <c r="F405" t="s">
        <v>656</v>
      </c>
      <c r="G405" t="s">
        <v>2010</v>
      </c>
      <c r="I405" s="8" t="e">
        <f>MATCH(A405,'GC-B cell original comparision'!$E$6:$E$237,0)</f>
        <v>#N/A</v>
      </c>
    </row>
    <row r="406" spans="1:9">
      <c r="A406">
        <v>10429968</v>
      </c>
      <c r="B406">
        <v>2.4889849780027902</v>
      </c>
      <c r="C406">
        <v>0.67629388542240598</v>
      </c>
      <c r="D406" s="10" t="s">
        <v>2038</v>
      </c>
      <c r="E406" s="10"/>
      <c r="I406" s="8" t="e">
        <f>MATCH(A406,'GC-B cell original comparision'!$E$6:$E$237,0)</f>
        <v>#N/A</v>
      </c>
    </row>
    <row r="407" spans="1:9">
      <c r="A407">
        <v>10395252</v>
      </c>
      <c r="B407">
        <v>2.4881503157188698</v>
      </c>
      <c r="C407">
        <v>0.33069564871108698</v>
      </c>
      <c r="D407" t="s">
        <v>657</v>
      </c>
      <c r="E407" t="s">
        <v>658</v>
      </c>
      <c r="F407" t="s">
        <v>659</v>
      </c>
      <c r="G407" t="s">
        <v>2010</v>
      </c>
      <c r="I407" s="8" t="e">
        <f>MATCH(A407,'GC-B cell original comparision'!$E$6:$E$237,0)</f>
        <v>#N/A</v>
      </c>
    </row>
    <row r="408" spans="1:9">
      <c r="A408">
        <v>10465638</v>
      </c>
      <c r="B408">
        <v>2.4862664345251599</v>
      </c>
      <c r="C408">
        <v>0.45663272566656499</v>
      </c>
      <c r="D408" t="s">
        <v>660</v>
      </c>
      <c r="E408" t="s">
        <v>661</v>
      </c>
      <c r="F408" t="s">
        <v>2067</v>
      </c>
      <c r="G408" t="s">
        <v>2010</v>
      </c>
      <c r="I408" s="8">
        <f>MATCH(A408,'GC-B cell original comparision'!$E$6:$E$237,0)</f>
        <v>179</v>
      </c>
    </row>
    <row r="409" spans="1:9">
      <c r="A409">
        <v>10572301</v>
      </c>
      <c r="B409">
        <v>2.4856422312709499</v>
      </c>
      <c r="C409">
        <v>3.4687531088228897E-2</v>
      </c>
      <c r="D409" t="s">
        <v>662</v>
      </c>
      <c r="E409" t="s">
        <v>663</v>
      </c>
      <c r="F409" t="s">
        <v>837</v>
      </c>
      <c r="G409" t="s">
        <v>2010</v>
      </c>
      <c r="I409" s="8">
        <f>MATCH(A409,'GC-B cell original comparision'!$E$6:$E$237,0)</f>
        <v>222</v>
      </c>
    </row>
    <row r="410" spans="1:9">
      <c r="A410">
        <v>10448925</v>
      </c>
      <c r="B410">
        <v>2.48378084778654</v>
      </c>
      <c r="C410">
        <v>0.242626657094031</v>
      </c>
      <c r="D410" t="s">
        <v>838</v>
      </c>
      <c r="E410" t="s">
        <v>839</v>
      </c>
      <c r="F410" t="s">
        <v>840</v>
      </c>
      <c r="G410" t="s">
        <v>2010</v>
      </c>
      <c r="I410" s="8" t="e">
        <f>MATCH(A410,'GC-B cell original comparision'!$E$6:$E$237,0)</f>
        <v>#N/A</v>
      </c>
    </row>
    <row r="411" spans="1:9">
      <c r="A411">
        <v>10473190</v>
      </c>
      <c r="B411">
        <v>2.47833340633863</v>
      </c>
      <c r="C411">
        <v>0.53326071507089801</v>
      </c>
      <c r="D411" t="s">
        <v>841</v>
      </c>
      <c r="E411" t="s">
        <v>842</v>
      </c>
      <c r="F411" t="s">
        <v>843</v>
      </c>
      <c r="G411" t="s">
        <v>2010</v>
      </c>
      <c r="I411" s="8" t="e">
        <f>MATCH(A411,'GC-B cell original comparision'!$E$6:$E$237,0)</f>
        <v>#N/A</v>
      </c>
    </row>
    <row r="412" spans="1:9">
      <c r="A412">
        <v>10438572</v>
      </c>
      <c r="B412">
        <v>2.4782002703817998</v>
      </c>
      <c r="C412">
        <v>0.17452538771249501</v>
      </c>
      <c r="D412" t="s">
        <v>844</v>
      </c>
      <c r="E412" t="s">
        <v>845</v>
      </c>
      <c r="F412" t="s">
        <v>846</v>
      </c>
      <c r="G412" t="s">
        <v>2010</v>
      </c>
      <c r="I412" s="8" t="e">
        <f>MATCH(A412,'GC-B cell original comparision'!$E$6:$E$237,0)</f>
        <v>#N/A</v>
      </c>
    </row>
    <row r="413" spans="1:9">
      <c r="A413">
        <v>10392318</v>
      </c>
      <c r="B413">
        <v>2.47225514134036</v>
      </c>
      <c r="C413">
        <v>0.353123506837067</v>
      </c>
      <c r="D413" t="s">
        <v>847</v>
      </c>
      <c r="E413" t="s">
        <v>848</v>
      </c>
      <c r="F413" t="s">
        <v>849</v>
      </c>
      <c r="G413" t="s">
        <v>2010</v>
      </c>
      <c r="I413" s="8" t="e">
        <f>MATCH(A413,'GC-B cell original comparision'!$E$6:$E$237,0)</f>
        <v>#N/A</v>
      </c>
    </row>
    <row r="414" spans="1:9">
      <c r="A414">
        <v>10353549</v>
      </c>
      <c r="B414">
        <v>2.4678061611769699</v>
      </c>
      <c r="C414">
        <v>0.21617048059198901</v>
      </c>
      <c r="D414" t="s">
        <v>850</v>
      </c>
      <c r="E414" t="s">
        <v>851</v>
      </c>
      <c r="F414" t="s">
        <v>680</v>
      </c>
      <c r="G414" t="s">
        <v>2010</v>
      </c>
      <c r="I414" s="8" t="e">
        <f>MATCH(A414,'GC-B cell original comparision'!$E$6:$E$237,0)</f>
        <v>#N/A</v>
      </c>
    </row>
    <row r="415" spans="1:9">
      <c r="A415">
        <v>10359917</v>
      </c>
      <c r="B415">
        <v>2.4672014496836798</v>
      </c>
      <c r="C415">
        <v>0.55985024977988196</v>
      </c>
      <c r="D415" t="s">
        <v>681</v>
      </c>
      <c r="E415" t="s">
        <v>682</v>
      </c>
      <c r="F415" t="s">
        <v>683</v>
      </c>
      <c r="G415" t="s">
        <v>2010</v>
      </c>
      <c r="I415" s="8" t="e">
        <f>MATCH(A415,'GC-B cell original comparision'!$E$6:$E$237,0)</f>
        <v>#N/A</v>
      </c>
    </row>
    <row r="416" spans="1:9">
      <c r="A416">
        <v>10493664</v>
      </c>
      <c r="B416">
        <v>2.4651620835066699</v>
      </c>
      <c r="C416">
        <v>0.39577815273954497</v>
      </c>
      <c r="D416" t="s">
        <v>937</v>
      </c>
      <c r="E416" t="s">
        <v>938</v>
      </c>
      <c r="F416" t="s">
        <v>939</v>
      </c>
      <c r="G416" t="s">
        <v>2010</v>
      </c>
      <c r="I416" s="8" t="e">
        <f>MATCH(A416,'GC-B cell original comparision'!$E$6:$E$237,0)</f>
        <v>#N/A</v>
      </c>
    </row>
    <row r="417" spans="1:9">
      <c r="A417">
        <v>10456566</v>
      </c>
      <c r="B417">
        <v>2.46018617970058</v>
      </c>
      <c r="C417">
        <v>0.78383863199787496</v>
      </c>
      <c r="D417" t="s">
        <v>684</v>
      </c>
      <c r="E417" t="s">
        <v>685</v>
      </c>
      <c r="F417" t="s">
        <v>686</v>
      </c>
      <c r="G417" t="s">
        <v>2010</v>
      </c>
      <c r="I417" s="8" t="e">
        <f>MATCH(A417,'GC-B cell original comparision'!$E$6:$E$237,0)</f>
        <v>#N/A</v>
      </c>
    </row>
    <row r="418" spans="1:9">
      <c r="A418">
        <v>10578521</v>
      </c>
      <c r="B418">
        <v>2.4596246624165001</v>
      </c>
      <c r="C418">
        <v>1.09874904201541</v>
      </c>
      <c r="D418" t="s">
        <v>687</v>
      </c>
      <c r="E418" t="s">
        <v>688</v>
      </c>
      <c r="F418" t="s">
        <v>689</v>
      </c>
      <c r="G418" t="s">
        <v>2010</v>
      </c>
      <c r="I418" s="8" t="e">
        <f>MATCH(A418,'GC-B cell original comparision'!$E$6:$E$237,0)</f>
        <v>#N/A</v>
      </c>
    </row>
    <row r="419" spans="1:9">
      <c r="A419">
        <v>10595382</v>
      </c>
      <c r="B419">
        <v>2.45453763710539</v>
      </c>
      <c r="C419">
        <v>0.32315387762563003</v>
      </c>
      <c r="D419" t="s">
        <v>690</v>
      </c>
      <c r="E419" t="s">
        <v>691</v>
      </c>
      <c r="F419" t="s">
        <v>692</v>
      </c>
      <c r="G419" t="s">
        <v>2010</v>
      </c>
      <c r="I419" s="8" t="e">
        <f>MATCH(A419,'GC-B cell original comparision'!$E$6:$E$237,0)</f>
        <v>#N/A</v>
      </c>
    </row>
    <row r="420" spans="1:9">
      <c r="A420">
        <v>10360679</v>
      </c>
      <c r="B420">
        <v>2.45180496213526</v>
      </c>
      <c r="C420">
        <v>0.18677460427763801</v>
      </c>
      <c r="D420" t="s">
        <v>853</v>
      </c>
      <c r="E420" t="s">
        <v>854</v>
      </c>
      <c r="F420" t="s">
        <v>855</v>
      </c>
      <c r="G420" t="s">
        <v>2010</v>
      </c>
      <c r="I420" s="8" t="e">
        <f>MATCH(A420,'GC-B cell original comparision'!$E$6:$E$237,0)</f>
        <v>#N/A</v>
      </c>
    </row>
    <row r="421" spans="1:9">
      <c r="A421">
        <v>10594812</v>
      </c>
      <c r="B421">
        <v>2.4493617110364898</v>
      </c>
      <c r="C421">
        <v>0.64937460532805702</v>
      </c>
      <c r="D421" t="s">
        <v>693</v>
      </c>
      <c r="E421" t="s">
        <v>694</v>
      </c>
      <c r="F421" t="s">
        <v>2248</v>
      </c>
      <c r="G421" t="s">
        <v>2010</v>
      </c>
      <c r="I421" s="8">
        <f>MATCH(A421,'GC-B cell original comparision'!$E$6:$E$237,0)</f>
        <v>231</v>
      </c>
    </row>
    <row r="422" spans="1:9">
      <c r="A422">
        <v>10527158</v>
      </c>
      <c r="B422">
        <v>2.4391186577811199</v>
      </c>
      <c r="C422">
        <v>0.16832930729964399</v>
      </c>
      <c r="D422" t="s">
        <v>695</v>
      </c>
      <c r="E422" t="s">
        <v>696</v>
      </c>
      <c r="F422" t="s">
        <v>697</v>
      </c>
      <c r="G422" t="s">
        <v>2010</v>
      </c>
      <c r="I422" s="8" t="e">
        <f>MATCH(A422,'GC-B cell original comparision'!$E$6:$E$237,0)</f>
        <v>#N/A</v>
      </c>
    </row>
    <row r="423" spans="1:9">
      <c r="A423">
        <v>10479041</v>
      </c>
      <c r="B423">
        <v>2.4363681294012101</v>
      </c>
      <c r="C423">
        <v>0.90272133690955703</v>
      </c>
      <c r="D423" t="s">
        <v>698</v>
      </c>
      <c r="E423" t="s">
        <v>699</v>
      </c>
      <c r="F423" t="s">
        <v>873</v>
      </c>
      <c r="G423" t="s">
        <v>2010</v>
      </c>
      <c r="I423" s="8" t="e">
        <f>MATCH(A423,'GC-B cell original comparision'!$E$6:$E$237,0)</f>
        <v>#N/A</v>
      </c>
    </row>
    <row r="424" spans="1:9">
      <c r="A424">
        <v>10400030</v>
      </c>
      <c r="B424">
        <v>2.42999565505268</v>
      </c>
      <c r="C424">
        <v>0.31913243495205401</v>
      </c>
      <c r="D424" t="s">
        <v>874</v>
      </c>
      <c r="E424" t="s">
        <v>875</v>
      </c>
      <c r="F424" t="s">
        <v>876</v>
      </c>
      <c r="G424" t="s">
        <v>2010</v>
      </c>
      <c r="I424" s="8" t="e">
        <f>MATCH(A424,'GC-B cell original comparision'!$E$6:$E$237,0)</f>
        <v>#N/A</v>
      </c>
    </row>
    <row r="425" spans="1:9">
      <c r="A425">
        <v>10436169</v>
      </c>
      <c r="B425">
        <v>2.4230718847952399</v>
      </c>
      <c r="C425">
        <v>1.3680505333255799</v>
      </c>
      <c r="D425" t="s">
        <v>877</v>
      </c>
      <c r="E425" t="s">
        <v>878</v>
      </c>
      <c r="F425" t="s">
        <v>879</v>
      </c>
      <c r="G425" t="s">
        <v>2010</v>
      </c>
      <c r="I425" s="8" t="e">
        <f>MATCH(A425,'GC-B cell original comparision'!$E$6:$E$237,0)</f>
        <v>#N/A</v>
      </c>
    </row>
    <row r="426" spans="1:9">
      <c r="A426">
        <v>10387638</v>
      </c>
      <c r="B426">
        <v>2.42063573710863</v>
      </c>
      <c r="C426">
        <v>9.2882552521692502E-2</v>
      </c>
      <c r="D426" t="s">
        <v>880</v>
      </c>
      <c r="E426" t="s">
        <v>881</v>
      </c>
      <c r="F426" t="s">
        <v>709</v>
      </c>
      <c r="G426" t="s">
        <v>2010</v>
      </c>
      <c r="I426" s="8" t="e">
        <f>MATCH(A426,'GC-B cell original comparision'!$E$6:$E$237,0)</f>
        <v>#N/A</v>
      </c>
    </row>
    <row r="427" spans="1:9">
      <c r="A427">
        <v>10458285</v>
      </c>
      <c r="B427">
        <v>2.41972539783136</v>
      </c>
      <c r="C427">
        <v>0.33918070335100697</v>
      </c>
      <c r="D427" t="s">
        <v>710</v>
      </c>
      <c r="E427" t="s">
        <v>711</v>
      </c>
      <c r="F427" t="s">
        <v>712</v>
      </c>
      <c r="G427" t="s">
        <v>2010</v>
      </c>
      <c r="I427" s="8">
        <f>MATCH(A427,'GC-B cell original comparision'!$E$6:$E$237,0)</f>
        <v>189</v>
      </c>
    </row>
    <row r="428" spans="1:9">
      <c r="A428">
        <v>10395831</v>
      </c>
      <c r="B428">
        <v>2.4183890388894098</v>
      </c>
      <c r="C428">
        <v>0.51306094130204505</v>
      </c>
      <c r="D428" t="s">
        <v>713</v>
      </c>
      <c r="E428" t="s">
        <v>714</v>
      </c>
      <c r="F428" t="s">
        <v>715</v>
      </c>
      <c r="G428" t="s">
        <v>2010</v>
      </c>
      <c r="I428" s="8">
        <f>MATCH(A428,'GC-B cell original comparision'!$E$6:$E$237,0)</f>
        <v>184</v>
      </c>
    </row>
    <row r="429" spans="1:9">
      <c r="A429">
        <v>10513320</v>
      </c>
      <c r="B429">
        <v>2.4111828277107499</v>
      </c>
      <c r="C429">
        <v>0.61527810599400601</v>
      </c>
      <c r="D429" t="s">
        <v>716</v>
      </c>
      <c r="E429" t="s">
        <v>717</v>
      </c>
      <c r="F429" t="s">
        <v>718</v>
      </c>
      <c r="G429" t="s">
        <v>2010</v>
      </c>
      <c r="I429" s="8" t="e">
        <f>MATCH(A429,'GC-B cell original comparision'!$E$6:$E$237,0)</f>
        <v>#N/A</v>
      </c>
    </row>
    <row r="430" spans="1:9">
      <c r="A430">
        <v>10392300</v>
      </c>
      <c r="B430">
        <v>2.4012441354593799</v>
      </c>
      <c r="C430">
        <v>0.245665109173998</v>
      </c>
      <c r="D430" t="s">
        <v>847</v>
      </c>
      <c r="E430" t="s">
        <v>848</v>
      </c>
      <c r="F430" t="s">
        <v>849</v>
      </c>
      <c r="G430" t="s">
        <v>2010</v>
      </c>
      <c r="I430" s="8" t="e">
        <f>MATCH(A430,'GC-B cell original comparision'!$E$6:$E$237,0)</f>
        <v>#N/A</v>
      </c>
    </row>
    <row r="431" spans="1:9">
      <c r="A431">
        <v>10583326</v>
      </c>
      <c r="B431">
        <v>2.3927943319448999</v>
      </c>
      <c r="C431">
        <v>0.41295268134000801</v>
      </c>
      <c r="D431" t="s">
        <v>719</v>
      </c>
      <c r="E431" t="s">
        <v>720</v>
      </c>
      <c r="F431" t="s">
        <v>892</v>
      </c>
      <c r="G431" t="s">
        <v>2010</v>
      </c>
      <c r="I431" s="8" t="e">
        <f>MATCH(A431,'GC-B cell original comparision'!$E$6:$E$237,0)</f>
        <v>#N/A</v>
      </c>
    </row>
    <row r="432" spans="1:9">
      <c r="A432">
        <v>10390746</v>
      </c>
      <c r="B432">
        <v>2.3908926736660798</v>
      </c>
      <c r="C432">
        <v>0.34104750481483898</v>
      </c>
      <c r="D432" s="10" t="s">
        <v>2038</v>
      </c>
      <c r="E432" s="10"/>
      <c r="I432" s="8" t="e">
        <f>MATCH(A432,'GC-B cell original comparision'!$E$6:$E$237,0)</f>
        <v>#N/A</v>
      </c>
    </row>
    <row r="433" spans="1:9">
      <c r="A433">
        <v>10470564</v>
      </c>
      <c r="B433">
        <v>2.3875512806678798</v>
      </c>
      <c r="C433">
        <v>1.008614625473</v>
      </c>
      <c r="D433" t="s">
        <v>893</v>
      </c>
      <c r="E433" t="s">
        <v>894</v>
      </c>
      <c r="F433" t="s">
        <v>895</v>
      </c>
      <c r="G433" t="s">
        <v>2010</v>
      </c>
      <c r="I433" s="8" t="e">
        <f>MATCH(A433,'GC-B cell original comparision'!$E$6:$E$237,0)</f>
        <v>#N/A</v>
      </c>
    </row>
    <row r="434" spans="1:9">
      <c r="A434">
        <v>10425370</v>
      </c>
      <c r="B434">
        <v>2.38288000839467</v>
      </c>
      <c r="C434">
        <v>0.64356346309986001</v>
      </c>
      <c r="D434" t="s">
        <v>729</v>
      </c>
      <c r="E434" t="s">
        <v>730</v>
      </c>
      <c r="F434" t="s">
        <v>727</v>
      </c>
      <c r="G434" t="s">
        <v>2010</v>
      </c>
      <c r="I434" s="8" t="e">
        <f>MATCH(A434,'GC-B cell original comparision'!$E$6:$E$237,0)</f>
        <v>#N/A</v>
      </c>
    </row>
    <row r="435" spans="1:9">
      <c r="A435">
        <v>10425695</v>
      </c>
      <c r="B435">
        <v>2.3766385392917102</v>
      </c>
      <c r="C435">
        <v>1.2804811163304599</v>
      </c>
      <c r="D435" t="s">
        <v>728</v>
      </c>
      <c r="E435" t="s">
        <v>560</v>
      </c>
      <c r="F435" t="s">
        <v>561</v>
      </c>
      <c r="G435" t="s">
        <v>2010</v>
      </c>
      <c r="I435" s="8" t="e">
        <f>MATCH(A435,'GC-B cell original comparision'!$E$6:$E$237,0)</f>
        <v>#N/A</v>
      </c>
    </row>
    <row r="436" spans="1:9">
      <c r="A436">
        <v>10607877</v>
      </c>
      <c r="B436">
        <v>2.37630096900073</v>
      </c>
      <c r="C436">
        <v>0.81124024883139001</v>
      </c>
      <c r="D436" t="s">
        <v>562</v>
      </c>
      <c r="E436" t="s">
        <v>563</v>
      </c>
      <c r="F436" t="s">
        <v>564</v>
      </c>
      <c r="G436" t="s">
        <v>2010</v>
      </c>
      <c r="I436" s="8" t="e">
        <f>MATCH(A436,'GC-B cell original comparision'!$E$6:$E$237,0)</f>
        <v>#N/A</v>
      </c>
    </row>
    <row r="437" spans="1:9">
      <c r="A437">
        <v>10583228</v>
      </c>
      <c r="B437">
        <v>2.37440785600492</v>
      </c>
      <c r="C437">
        <v>0.529953247481319</v>
      </c>
      <c r="D437" t="s">
        <v>565</v>
      </c>
      <c r="E437" t="s">
        <v>566</v>
      </c>
      <c r="F437" t="s">
        <v>567</v>
      </c>
      <c r="G437" t="s">
        <v>2010</v>
      </c>
      <c r="I437" s="8" t="e">
        <f>MATCH(A437,'GC-B cell original comparision'!$E$6:$E$237,0)</f>
        <v>#N/A</v>
      </c>
    </row>
    <row r="438" spans="1:9">
      <c r="A438">
        <v>10394498</v>
      </c>
      <c r="B438">
        <v>2.36861480685877</v>
      </c>
      <c r="C438">
        <v>0.61774355078373799</v>
      </c>
      <c r="D438" t="s">
        <v>568</v>
      </c>
      <c r="E438" t="s">
        <v>569</v>
      </c>
      <c r="F438" t="s">
        <v>570</v>
      </c>
      <c r="G438" t="s">
        <v>2010</v>
      </c>
      <c r="I438" s="8" t="e">
        <f>MATCH(A438,'GC-B cell original comparision'!$E$6:$E$237,0)</f>
        <v>#N/A</v>
      </c>
    </row>
    <row r="439" spans="1:9">
      <c r="A439">
        <v>10608667</v>
      </c>
      <c r="B439">
        <v>2.36612232071076</v>
      </c>
      <c r="C439">
        <v>0.75246094812533804</v>
      </c>
      <c r="D439" s="10" t="s">
        <v>2038</v>
      </c>
      <c r="E439" s="10"/>
      <c r="I439" s="8" t="e">
        <f>MATCH(A439,'GC-B cell original comparision'!$E$6:$E$237,0)</f>
        <v>#N/A</v>
      </c>
    </row>
    <row r="440" spans="1:9">
      <c r="A440">
        <v>10364559</v>
      </c>
      <c r="B440">
        <v>2.3646442842610802</v>
      </c>
      <c r="C440">
        <v>0.27476541299174001</v>
      </c>
      <c r="D440" t="s">
        <v>571</v>
      </c>
      <c r="E440" t="s">
        <v>572</v>
      </c>
      <c r="F440" t="s">
        <v>573</v>
      </c>
      <c r="G440" t="s">
        <v>2010</v>
      </c>
      <c r="I440" s="8" t="e">
        <f>MATCH(A440,'GC-B cell original comparision'!$E$6:$E$237,0)</f>
        <v>#N/A</v>
      </c>
    </row>
    <row r="441" spans="1:9">
      <c r="A441">
        <v>10407511</v>
      </c>
      <c r="B441">
        <v>2.3632424623219999</v>
      </c>
      <c r="C441">
        <v>1.0161909389706001</v>
      </c>
      <c r="D441" s="10" t="s">
        <v>2038</v>
      </c>
      <c r="E441" s="10"/>
      <c r="I441" s="8" t="e">
        <f>MATCH(A441,'GC-B cell original comparision'!$E$6:$E$237,0)</f>
        <v>#N/A</v>
      </c>
    </row>
    <row r="442" spans="1:9">
      <c r="A442">
        <v>10341863</v>
      </c>
      <c r="B442">
        <v>2.36209043531984</v>
      </c>
      <c r="C442">
        <v>0.16111070220729901</v>
      </c>
      <c r="D442" s="10" t="s">
        <v>2038</v>
      </c>
      <c r="E442" s="10"/>
      <c r="I442" s="8" t="e">
        <f>MATCH(A442,'GC-B cell original comparision'!$E$6:$E$237,0)</f>
        <v>#N/A</v>
      </c>
    </row>
    <row r="443" spans="1:9">
      <c r="A443">
        <v>10401343</v>
      </c>
      <c r="B443">
        <v>2.3584471469563999</v>
      </c>
      <c r="C443">
        <v>0.69571540924614905</v>
      </c>
      <c r="D443" t="s">
        <v>574</v>
      </c>
      <c r="E443" t="s">
        <v>575</v>
      </c>
      <c r="F443" t="s">
        <v>576</v>
      </c>
      <c r="G443" t="s">
        <v>2010</v>
      </c>
      <c r="I443" s="8" t="e">
        <f>MATCH(A443,'GC-B cell original comparision'!$E$6:$E$237,0)</f>
        <v>#N/A</v>
      </c>
    </row>
    <row r="444" spans="1:9">
      <c r="A444">
        <v>10549530</v>
      </c>
      <c r="B444">
        <v>2.35470667943386</v>
      </c>
      <c r="C444">
        <v>0.68663467721816496</v>
      </c>
      <c r="D444" s="10" t="s">
        <v>2038</v>
      </c>
      <c r="E444" s="10"/>
      <c r="I444" s="8" t="e">
        <f>MATCH(A444,'GC-B cell original comparision'!$E$6:$E$237,0)</f>
        <v>#N/A</v>
      </c>
    </row>
    <row r="445" spans="1:9">
      <c r="A445">
        <v>10381798</v>
      </c>
      <c r="B445">
        <v>2.35191894835476</v>
      </c>
      <c r="C445">
        <v>0.48452255650762099</v>
      </c>
      <c r="D445" t="s">
        <v>748</v>
      </c>
      <c r="E445" t="s">
        <v>749</v>
      </c>
      <c r="F445" t="s">
        <v>750</v>
      </c>
      <c r="G445" t="s">
        <v>2010</v>
      </c>
      <c r="I445" s="8" t="e">
        <f>MATCH(A445,'GC-B cell original comparision'!$E$6:$E$237,0)</f>
        <v>#N/A</v>
      </c>
    </row>
    <row r="446" spans="1:9">
      <c r="A446">
        <v>10389561</v>
      </c>
      <c r="B446">
        <v>2.3515631057854698</v>
      </c>
      <c r="C446">
        <v>1.02261844643952</v>
      </c>
      <c r="D446" t="s">
        <v>751</v>
      </c>
      <c r="E446" t="s">
        <v>752</v>
      </c>
      <c r="F446" t="s">
        <v>753</v>
      </c>
      <c r="G446" t="s">
        <v>2010</v>
      </c>
      <c r="I446" s="8" t="e">
        <f>MATCH(A446,'GC-B cell original comparision'!$E$6:$E$237,0)</f>
        <v>#N/A</v>
      </c>
    </row>
    <row r="447" spans="1:9">
      <c r="A447">
        <v>10553935</v>
      </c>
      <c r="B447">
        <v>2.3511664364717699</v>
      </c>
      <c r="C447">
        <v>0.77922801122909802</v>
      </c>
      <c r="D447" t="s">
        <v>754</v>
      </c>
      <c r="E447" t="s">
        <v>755</v>
      </c>
      <c r="F447" t="s">
        <v>756</v>
      </c>
      <c r="G447" t="s">
        <v>2010</v>
      </c>
      <c r="I447" s="8" t="e">
        <f>MATCH(A447,'GC-B cell original comparision'!$E$6:$E$237,0)</f>
        <v>#N/A</v>
      </c>
    </row>
    <row r="448" spans="1:9">
      <c r="A448">
        <v>10581729</v>
      </c>
      <c r="B448">
        <v>2.3486101536306498</v>
      </c>
      <c r="C448">
        <v>0.82856275363062304</v>
      </c>
      <c r="D448" t="s">
        <v>757</v>
      </c>
      <c r="E448" t="s">
        <v>758</v>
      </c>
      <c r="F448" t="s">
        <v>759</v>
      </c>
      <c r="G448" t="s">
        <v>2010</v>
      </c>
      <c r="I448" s="8" t="e">
        <f>MATCH(A448,'GC-B cell original comparision'!$E$6:$E$237,0)</f>
        <v>#N/A</v>
      </c>
    </row>
    <row r="449" spans="1:9">
      <c r="A449">
        <v>10498332</v>
      </c>
      <c r="B449">
        <v>2.3421126875529001</v>
      </c>
      <c r="C449">
        <v>0.191514196043302</v>
      </c>
      <c r="D449" t="s">
        <v>760</v>
      </c>
      <c r="E449" t="s">
        <v>761</v>
      </c>
      <c r="F449" t="s">
        <v>762</v>
      </c>
      <c r="G449" t="s">
        <v>2010</v>
      </c>
      <c r="I449" s="8" t="e">
        <f>MATCH(A449,'GC-B cell original comparision'!$E$6:$E$237,0)</f>
        <v>#N/A</v>
      </c>
    </row>
    <row r="450" spans="1:9">
      <c r="A450">
        <v>10433161</v>
      </c>
      <c r="B450">
        <v>2.3370937662937998</v>
      </c>
      <c r="C450">
        <v>0.145221717969786</v>
      </c>
      <c r="D450" t="s">
        <v>763</v>
      </c>
      <c r="E450" t="s">
        <v>764</v>
      </c>
      <c r="F450" t="s">
        <v>765</v>
      </c>
      <c r="G450" t="s">
        <v>2015</v>
      </c>
      <c r="I450" s="8" t="e">
        <f>MATCH(A450,'GC-B cell original comparision'!$E$6:$E$237,0)</f>
        <v>#N/A</v>
      </c>
    </row>
    <row r="451" spans="1:9">
      <c r="A451">
        <v>10598638</v>
      </c>
      <c r="B451">
        <v>2.3336397434296599</v>
      </c>
      <c r="C451">
        <v>0.53222782235398103</v>
      </c>
      <c r="D451" t="s">
        <v>594</v>
      </c>
      <c r="E451" t="s">
        <v>595</v>
      </c>
      <c r="F451" t="s">
        <v>596</v>
      </c>
      <c r="G451" t="s">
        <v>2010</v>
      </c>
      <c r="I451" s="8" t="e">
        <f>MATCH(A451,'GC-B cell original comparision'!$E$6:$E$237,0)</f>
        <v>#N/A</v>
      </c>
    </row>
    <row r="452" spans="1:9">
      <c r="A452">
        <v>10595836</v>
      </c>
      <c r="B452">
        <v>2.3237825240954302</v>
      </c>
      <c r="C452">
        <v>0.20015714882034599</v>
      </c>
      <c r="D452" t="s">
        <v>597</v>
      </c>
      <c r="E452" t="s">
        <v>598</v>
      </c>
      <c r="F452" t="s">
        <v>599</v>
      </c>
      <c r="G452" t="s">
        <v>2060</v>
      </c>
      <c r="I452" s="8" t="e">
        <f>MATCH(A452,'GC-B cell original comparision'!$E$6:$E$237,0)</f>
        <v>#N/A</v>
      </c>
    </row>
    <row r="453" spans="1:9">
      <c r="A453">
        <v>10608661</v>
      </c>
      <c r="B453">
        <v>2.32118508847456</v>
      </c>
      <c r="C453">
        <v>0.288682329913582</v>
      </c>
      <c r="D453" s="10" t="s">
        <v>2038</v>
      </c>
      <c r="E453" s="10"/>
      <c r="I453" s="8" t="e">
        <f>MATCH(A453,'GC-B cell original comparision'!$E$6:$E$237,0)</f>
        <v>#N/A</v>
      </c>
    </row>
    <row r="454" spans="1:9">
      <c r="A454">
        <v>10528385</v>
      </c>
      <c r="B454">
        <v>2.3094604927923399</v>
      </c>
      <c r="C454">
        <v>0.124231015620411</v>
      </c>
      <c r="D454" t="s">
        <v>600</v>
      </c>
      <c r="E454" t="s">
        <v>601</v>
      </c>
      <c r="F454" t="s">
        <v>602</v>
      </c>
      <c r="G454" t="s">
        <v>2010</v>
      </c>
      <c r="I454" s="8" t="e">
        <f>MATCH(A454,'GC-B cell original comparision'!$E$6:$E$237,0)</f>
        <v>#N/A</v>
      </c>
    </row>
    <row r="455" spans="1:9">
      <c r="A455">
        <v>10583732</v>
      </c>
      <c r="B455">
        <v>2.3085492267843999</v>
      </c>
      <c r="C455">
        <v>0.13439060137140499</v>
      </c>
      <c r="D455" t="s">
        <v>603</v>
      </c>
      <c r="E455" t="s">
        <v>604</v>
      </c>
      <c r="F455" t="s">
        <v>605</v>
      </c>
      <c r="G455" t="s">
        <v>2010</v>
      </c>
      <c r="I455" s="8" t="e">
        <f>MATCH(A455,'GC-B cell original comparision'!$E$6:$E$237,0)</f>
        <v>#N/A</v>
      </c>
    </row>
    <row r="456" spans="1:9">
      <c r="A456">
        <v>10503023</v>
      </c>
      <c r="B456">
        <v>2.30762565103189</v>
      </c>
      <c r="C456">
        <v>0.206164905822454</v>
      </c>
      <c r="D456" t="s">
        <v>606</v>
      </c>
      <c r="E456" t="s">
        <v>607</v>
      </c>
      <c r="F456" t="s">
        <v>608</v>
      </c>
      <c r="G456" t="s">
        <v>2010</v>
      </c>
      <c r="I456" s="8" t="e">
        <f>MATCH(A456,'GC-B cell original comparision'!$E$6:$E$237,0)</f>
        <v>#N/A</v>
      </c>
    </row>
    <row r="457" spans="1:9">
      <c r="A457">
        <v>10351347</v>
      </c>
      <c r="B457">
        <v>2.2976024052604802</v>
      </c>
      <c r="C457">
        <v>0.64422779422398602</v>
      </c>
      <c r="D457" t="s">
        <v>609</v>
      </c>
      <c r="E457" t="s">
        <v>610</v>
      </c>
      <c r="F457" t="s">
        <v>611</v>
      </c>
      <c r="G457" t="s">
        <v>2010</v>
      </c>
      <c r="I457" s="8" t="e">
        <f>MATCH(A457,'GC-B cell original comparision'!$E$6:$E$237,0)</f>
        <v>#N/A</v>
      </c>
    </row>
    <row r="458" spans="1:9">
      <c r="A458">
        <v>10607848</v>
      </c>
      <c r="B458">
        <v>2.2917658898995801</v>
      </c>
      <c r="C458">
        <v>5.5740558883001501E-2</v>
      </c>
      <c r="D458" t="s">
        <v>612</v>
      </c>
      <c r="E458" t="s">
        <v>613</v>
      </c>
      <c r="F458" t="s">
        <v>787</v>
      </c>
      <c r="G458" t="s">
        <v>2010</v>
      </c>
      <c r="I458" s="8" t="e">
        <f>MATCH(A458,'GC-B cell original comparision'!$E$6:$E$237,0)</f>
        <v>#N/A</v>
      </c>
    </row>
    <row r="459" spans="1:9">
      <c r="A459">
        <v>10445434</v>
      </c>
      <c r="B459">
        <v>2.2898866533889199</v>
      </c>
      <c r="C459">
        <v>0.42789775730644097</v>
      </c>
      <c r="D459" t="s">
        <v>788</v>
      </c>
      <c r="E459" t="s">
        <v>789</v>
      </c>
      <c r="F459" t="s">
        <v>790</v>
      </c>
      <c r="G459" t="s">
        <v>2010</v>
      </c>
      <c r="I459" s="8" t="e">
        <f>MATCH(A459,'GC-B cell original comparision'!$E$6:$E$237,0)</f>
        <v>#N/A</v>
      </c>
    </row>
    <row r="460" spans="1:9">
      <c r="A460">
        <v>10375909</v>
      </c>
      <c r="B460">
        <v>2.2862074406674102</v>
      </c>
      <c r="C460">
        <v>0.93628272668787904</v>
      </c>
      <c r="D460" t="s">
        <v>791</v>
      </c>
      <c r="E460" t="s">
        <v>792</v>
      </c>
      <c r="F460" t="s">
        <v>793</v>
      </c>
      <c r="G460" t="s">
        <v>2010</v>
      </c>
      <c r="I460" s="8">
        <f>MATCH(A460,'GC-B cell original comparision'!$E$6:$E$237,0)</f>
        <v>191</v>
      </c>
    </row>
    <row r="461" spans="1:9">
      <c r="A461">
        <v>10349100</v>
      </c>
      <c r="B461">
        <v>2.28362793865444</v>
      </c>
      <c r="C461">
        <v>0.71501762997805296</v>
      </c>
      <c r="D461" t="s">
        <v>794</v>
      </c>
      <c r="E461" t="s">
        <v>795</v>
      </c>
      <c r="F461" t="s">
        <v>620</v>
      </c>
      <c r="G461" t="s">
        <v>2015</v>
      </c>
      <c r="I461" s="8" t="e">
        <f>MATCH(A461,'GC-B cell original comparision'!$E$6:$E$237,0)</f>
        <v>#N/A</v>
      </c>
    </row>
    <row r="462" spans="1:9">
      <c r="A462">
        <v>10575961</v>
      </c>
      <c r="B462">
        <v>2.2815968446166202</v>
      </c>
      <c r="C462">
        <v>0.95126331939205599</v>
      </c>
      <c r="D462" t="s">
        <v>621</v>
      </c>
      <c r="E462" t="s">
        <v>622</v>
      </c>
      <c r="F462" t="s">
        <v>623</v>
      </c>
      <c r="G462" t="s">
        <v>2010</v>
      </c>
      <c r="I462" s="8" t="e">
        <f>MATCH(A462,'GC-B cell original comparision'!$E$6:$E$237,0)</f>
        <v>#N/A</v>
      </c>
    </row>
    <row r="463" spans="1:9">
      <c r="A463">
        <v>10369989</v>
      </c>
      <c r="B463">
        <v>2.2795035888712798</v>
      </c>
      <c r="C463">
        <v>0.23600376521833999</v>
      </c>
      <c r="D463" t="s">
        <v>624</v>
      </c>
      <c r="E463" t="s">
        <v>625</v>
      </c>
      <c r="F463" t="s">
        <v>626</v>
      </c>
      <c r="G463" t="s">
        <v>2010</v>
      </c>
      <c r="I463" s="8" t="e">
        <f>MATCH(A463,'GC-B cell original comparision'!$E$6:$E$237,0)</f>
        <v>#N/A</v>
      </c>
    </row>
    <row r="464" spans="1:9">
      <c r="A464">
        <v>10497001</v>
      </c>
      <c r="B464">
        <v>2.2621222191968098</v>
      </c>
      <c r="C464">
        <v>0.29560974622047398</v>
      </c>
      <c r="D464" t="s">
        <v>627</v>
      </c>
      <c r="E464" t="s">
        <v>628</v>
      </c>
      <c r="F464" t="s">
        <v>629</v>
      </c>
      <c r="G464" t="s">
        <v>2010</v>
      </c>
      <c r="I464" s="8" t="e">
        <f>MATCH(A464,'GC-B cell original comparision'!$E$6:$E$237,0)</f>
        <v>#N/A</v>
      </c>
    </row>
    <row r="465" spans="1:9">
      <c r="A465">
        <v>10502778</v>
      </c>
      <c r="B465">
        <v>2.2606112671826302</v>
      </c>
      <c r="C465">
        <v>9.3699100274249603E-2</v>
      </c>
      <c r="D465" t="s">
        <v>630</v>
      </c>
      <c r="E465" t="s">
        <v>631</v>
      </c>
      <c r="F465" t="s">
        <v>632</v>
      </c>
      <c r="G465" t="s">
        <v>2010</v>
      </c>
      <c r="I465" s="8" t="e">
        <f>MATCH(A465,'GC-B cell original comparision'!$E$6:$E$237,0)</f>
        <v>#N/A</v>
      </c>
    </row>
    <row r="466" spans="1:9">
      <c r="A466">
        <v>10526120</v>
      </c>
      <c r="B466">
        <v>2.2594422957380198</v>
      </c>
      <c r="C466">
        <v>0.771613661676812</v>
      </c>
      <c r="D466" t="s">
        <v>633</v>
      </c>
      <c r="E466" t="s">
        <v>634</v>
      </c>
      <c r="F466" t="s">
        <v>813</v>
      </c>
      <c r="G466" t="s">
        <v>2010</v>
      </c>
      <c r="I466" s="8" t="e">
        <f>MATCH(A466,'GC-B cell original comparision'!$E$6:$E$237,0)</f>
        <v>#N/A</v>
      </c>
    </row>
    <row r="467" spans="1:9">
      <c r="A467">
        <v>10450926</v>
      </c>
      <c r="B467">
        <v>2.2567721639299201</v>
      </c>
      <c r="C467">
        <v>0.223785504843142</v>
      </c>
      <c r="D467" t="s">
        <v>814</v>
      </c>
      <c r="E467" t="s">
        <v>815</v>
      </c>
      <c r="F467" t="s">
        <v>816</v>
      </c>
      <c r="G467" t="s">
        <v>2010</v>
      </c>
      <c r="I467" s="8" t="e">
        <f>MATCH(A467,'GC-B cell original comparision'!$E$6:$E$237,0)</f>
        <v>#N/A</v>
      </c>
    </row>
    <row r="468" spans="1:9">
      <c r="A468">
        <v>10345548</v>
      </c>
      <c r="B468">
        <v>2.2405163145501898</v>
      </c>
      <c r="C468">
        <v>0.128824488211806</v>
      </c>
      <c r="D468" t="s">
        <v>1612</v>
      </c>
      <c r="E468" t="s">
        <v>1613</v>
      </c>
      <c r="F468" t="s">
        <v>1614</v>
      </c>
      <c r="G468" t="s">
        <v>2010</v>
      </c>
      <c r="I468" s="8" t="e">
        <f>MATCH(A468,'GC-B cell original comparision'!$E$6:$E$237,0)</f>
        <v>#N/A</v>
      </c>
    </row>
    <row r="469" spans="1:9">
      <c r="A469">
        <v>10453026</v>
      </c>
      <c r="B469">
        <v>2.2395468250578299</v>
      </c>
      <c r="C469">
        <v>0.46636517877907901</v>
      </c>
      <c r="D469" t="s">
        <v>817</v>
      </c>
      <c r="E469" t="s">
        <v>818</v>
      </c>
      <c r="F469" t="s">
        <v>641</v>
      </c>
      <c r="G469" t="s">
        <v>2010</v>
      </c>
      <c r="I469" s="8" t="e">
        <f>MATCH(A469,'GC-B cell original comparision'!$E$6:$E$237,0)</f>
        <v>#N/A</v>
      </c>
    </row>
    <row r="470" spans="1:9">
      <c r="A470">
        <v>10602865</v>
      </c>
      <c r="B470">
        <v>2.2377685672788998</v>
      </c>
      <c r="C470">
        <v>0.20816454396092901</v>
      </c>
      <c r="D470" t="s">
        <v>642</v>
      </c>
      <c r="E470" t="s">
        <v>643</v>
      </c>
      <c r="F470" t="s">
        <v>478</v>
      </c>
      <c r="G470" t="s">
        <v>2010</v>
      </c>
      <c r="I470" s="8" t="e">
        <f>MATCH(A470,'GC-B cell original comparision'!$E$6:$E$237,0)</f>
        <v>#N/A</v>
      </c>
    </row>
    <row r="471" spans="1:9">
      <c r="A471">
        <v>10447097</v>
      </c>
      <c r="B471">
        <v>2.2349817017381302</v>
      </c>
      <c r="C471">
        <v>8.9065747846079193E-2</v>
      </c>
      <c r="D471" t="s">
        <v>776</v>
      </c>
      <c r="E471" t="s">
        <v>777</v>
      </c>
      <c r="F471" t="s">
        <v>778</v>
      </c>
      <c r="G471" t="s">
        <v>2010</v>
      </c>
      <c r="I471" s="8" t="e">
        <f>MATCH(A471,'GC-B cell original comparision'!$E$6:$E$237,0)</f>
        <v>#N/A</v>
      </c>
    </row>
    <row r="472" spans="1:9">
      <c r="A472">
        <v>10399024</v>
      </c>
      <c r="B472">
        <v>2.23327174813666</v>
      </c>
      <c r="C472">
        <v>0.43755164576974298</v>
      </c>
      <c r="D472" t="s">
        <v>479</v>
      </c>
      <c r="E472" t="s">
        <v>480</v>
      </c>
      <c r="F472" t="s">
        <v>481</v>
      </c>
      <c r="G472" t="s">
        <v>2010</v>
      </c>
      <c r="I472" s="8" t="e">
        <f>MATCH(A472,'GC-B cell original comparision'!$E$6:$E$237,0)</f>
        <v>#N/A</v>
      </c>
    </row>
    <row r="473" spans="1:9">
      <c r="A473">
        <v>10457606</v>
      </c>
      <c r="B473">
        <v>2.2320770578551201</v>
      </c>
      <c r="C473">
        <v>0.200872580744759</v>
      </c>
      <c r="D473" t="s">
        <v>482</v>
      </c>
      <c r="E473" t="s">
        <v>483</v>
      </c>
      <c r="F473" t="s">
        <v>484</v>
      </c>
      <c r="G473" t="s">
        <v>2010</v>
      </c>
      <c r="I473" s="8" t="e">
        <f>MATCH(A473,'GC-B cell original comparision'!$E$6:$E$237,0)</f>
        <v>#N/A</v>
      </c>
    </row>
    <row r="474" spans="1:9">
      <c r="A474">
        <v>10374185</v>
      </c>
      <c r="B474">
        <v>2.2244687872252902</v>
      </c>
      <c r="C474">
        <v>0.52561943891494101</v>
      </c>
      <c r="D474" t="s">
        <v>485</v>
      </c>
      <c r="E474" t="s">
        <v>486</v>
      </c>
      <c r="F474" t="s">
        <v>487</v>
      </c>
      <c r="G474" t="s">
        <v>2010</v>
      </c>
      <c r="I474" s="8" t="e">
        <f>MATCH(A474,'GC-B cell original comparision'!$E$6:$E$237,0)</f>
        <v>#N/A</v>
      </c>
    </row>
    <row r="475" spans="1:9">
      <c r="A475">
        <v>10572722</v>
      </c>
      <c r="B475">
        <v>2.2241789342526999</v>
      </c>
      <c r="C475">
        <v>0.490426346877052</v>
      </c>
      <c r="D475" t="s">
        <v>488</v>
      </c>
      <c r="E475" t="s">
        <v>489</v>
      </c>
      <c r="F475" t="s">
        <v>490</v>
      </c>
      <c r="G475" t="s">
        <v>2015</v>
      </c>
      <c r="I475" s="8" t="e">
        <f>MATCH(A475,'GC-B cell original comparision'!$E$6:$E$237,0)</f>
        <v>#N/A</v>
      </c>
    </row>
    <row r="476" spans="1:9">
      <c r="A476">
        <v>10552276</v>
      </c>
      <c r="B476">
        <v>2.2229801358760302</v>
      </c>
      <c r="C476">
        <v>0.26624754224526798</v>
      </c>
      <c r="D476" t="s">
        <v>491</v>
      </c>
      <c r="E476" t="s">
        <v>492</v>
      </c>
      <c r="F476" t="s">
        <v>493</v>
      </c>
      <c r="G476" t="s">
        <v>2010</v>
      </c>
      <c r="I476" s="8" t="e">
        <f>MATCH(A476,'GC-B cell original comparision'!$E$6:$E$237,0)</f>
        <v>#N/A</v>
      </c>
    </row>
    <row r="477" spans="1:9">
      <c r="A477">
        <v>10575291</v>
      </c>
      <c r="B477">
        <v>2.2226689394874901</v>
      </c>
      <c r="C477">
        <v>0.62550125502776699</v>
      </c>
      <c r="D477" t="s">
        <v>664</v>
      </c>
      <c r="E477" t="s">
        <v>665</v>
      </c>
      <c r="F477" t="s">
        <v>666</v>
      </c>
      <c r="G477" t="s">
        <v>2010</v>
      </c>
      <c r="I477" s="8" t="e">
        <f>MATCH(A477,'GC-B cell original comparision'!$E$6:$E$237,0)</f>
        <v>#N/A</v>
      </c>
    </row>
    <row r="478" spans="1:9">
      <c r="A478">
        <v>10607062</v>
      </c>
      <c r="B478">
        <v>2.2203651980747701</v>
      </c>
      <c r="C478">
        <v>0.80079374659470004</v>
      </c>
      <c r="D478" t="s">
        <v>667</v>
      </c>
      <c r="E478" t="s">
        <v>668</v>
      </c>
      <c r="F478" t="s">
        <v>669</v>
      </c>
      <c r="G478" t="s">
        <v>2015</v>
      </c>
      <c r="I478" s="8" t="e">
        <f>MATCH(A478,'GC-B cell original comparision'!$E$6:$E$237,0)</f>
        <v>#N/A</v>
      </c>
    </row>
    <row r="479" spans="1:9">
      <c r="A479">
        <v>10435075</v>
      </c>
      <c r="B479">
        <v>2.2202420050420599</v>
      </c>
      <c r="C479">
        <v>0.53850798487414597</v>
      </c>
      <c r="D479" t="s">
        <v>670</v>
      </c>
      <c r="E479" t="s">
        <v>671</v>
      </c>
      <c r="F479" t="s">
        <v>672</v>
      </c>
      <c r="G479" t="s">
        <v>2010</v>
      </c>
      <c r="I479" s="8" t="e">
        <f>MATCH(A479,'GC-B cell original comparision'!$E$6:$E$237,0)</f>
        <v>#N/A</v>
      </c>
    </row>
    <row r="480" spans="1:9">
      <c r="A480">
        <v>10583697</v>
      </c>
      <c r="B480">
        <v>2.2135427765481799</v>
      </c>
      <c r="C480">
        <v>0.22151047155717099</v>
      </c>
      <c r="D480" t="s">
        <v>673</v>
      </c>
      <c r="E480" t="s">
        <v>674</v>
      </c>
      <c r="F480" t="s">
        <v>675</v>
      </c>
      <c r="G480" t="s">
        <v>2010</v>
      </c>
      <c r="I480" s="8" t="e">
        <f>MATCH(A480,'GC-B cell original comparision'!$E$6:$E$237,0)</f>
        <v>#N/A</v>
      </c>
    </row>
    <row r="481" spans="1:9">
      <c r="A481">
        <v>10604199</v>
      </c>
      <c r="B481">
        <v>2.21051384860449</v>
      </c>
      <c r="C481">
        <v>0.51254199601054595</v>
      </c>
      <c r="D481" t="s">
        <v>676</v>
      </c>
      <c r="E481" t="s">
        <v>677</v>
      </c>
      <c r="F481" t="s">
        <v>678</v>
      </c>
      <c r="G481" t="s">
        <v>2010</v>
      </c>
      <c r="I481" s="8" t="e">
        <f>MATCH(A481,'GC-B cell original comparision'!$E$6:$E$237,0)</f>
        <v>#N/A</v>
      </c>
    </row>
    <row r="482" spans="1:9">
      <c r="A482">
        <v>10568758</v>
      </c>
      <c r="B482">
        <v>2.2087338323149801</v>
      </c>
      <c r="C482">
        <v>0.175552389625311</v>
      </c>
      <c r="D482" t="s">
        <v>679</v>
      </c>
      <c r="E482" t="s">
        <v>508</v>
      </c>
      <c r="F482" t="s">
        <v>509</v>
      </c>
      <c r="G482" t="s">
        <v>2010</v>
      </c>
      <c r="I482" s="8" t="e">
        <f>MATCH(A482,'GC-B cell original comparision'!$E$6:$E$237,0)</f>
        <v>#N/A</v>
      </c>
    </row>
    <row r="483" spans="1:9">
      <c r="A483">
        <v>10418846</v>
      </c>
      <c r="B483">
        <v>2.2016631401073998</v>
      </c>
      <c r="C483">
        <v>0.38876465718103997</v>
      </c>
      <c r="D483" t="s">
        <v>1450</v>
      </c>
      <c r="E483" t="s">
        <v>1451</v>
      </c>
      <c r="F483" t="s">
        <v>1452</v>
      </c>
      <c r="G483" t="s">
        <v>2010</v>
      </c>
      <c r="I483" s="8" t="e">
        <f>MATCH(A483,'GC-B cell original comparision'!$E$6:$E$237,0)</f>
        <v>#N/A</v>
      </c>
    </row>
    <row r="484" spans="1:9">
      <c r="A484">
        <v>10466818</v>
      </c>
      <c r="B484">
        <v>2.2001738476924402</v>
      </c>
      <c r="C484">
        <v>0.30925578949815402</v>
      </c>
      <c r="D484" t="s">
        <v>510</v>
      </c>
      <c r="E484" t="s">
        <v>511</v>
      </c>
      <c r="F484" t="s">
        <v>512</v>
      </c>
      <c r="G484" t="s">
        <v>2010</v>
      </c>
      <c r="I484" s="8" t="e">
        <f>MATCH(A484,'GC-B cell original comparision'!$E$6:$E$237,0)</f>
        <v>#N/A</v>
      </c>
    </row>
    <row r="485" spans="1:9">
      <c r="A485">
        <v>10415875</v>
      </c>
      <c r="B485">
        <v>2.1990382433451101</v>
      </c>
      <c r="C485">
        <v>0.35196477199258502</v>
      </c>
      <c r="D485" t="s">
        <v>513</v>
      </c>
      <c r="E485" t="s">
        <v>514</v>
      </c>
      <c r="F485" t="s">
        <v>515</v>
      </c>
      <c r="G485" t="s">
        <v>2010</v>
      </c>
      <c r="I485" s="8" t="e">
        <f>MATCH(A485,'GC-B cell original comparision'!$E$6:$E$237,0)</f>
        <v>#N/A</v>
      </c>
    </row>
    <row r="486" spans="1:9">
      <c r="A486">
        <v>10601326</v>
      </c>
      <c r="B486">
        <v>2.1980378941855898</v>
      </c>
      <c r="C486">
        <v>0.45969544658528</v>
      </c>
      <c r="D486" t="s">
        <v>1501</v>
      </c>
      <c r="E486" t="s">
        <v>1502</v>
      </c>
      <c r="F486" t="s">
        <v>1334</v>
      </c>
      <c r="G486" t="s">
        <v>2010</v>
      </c>
      <c r="I486" s="8" t="e">
        <f>MATCH(A486,'GC-B cell original comparision'!$E$6:$E$237,0)</f>
        <v>#N/A</v>
      </c>
    </row>
    <row r="487" spans="1:9">
      <c r="A487">
        <v>10598654</v>
      </c>
      <c r="B487">
        <v>2.19731611510558</v>
      </c>
      <c r="C487">
        <v>0.19974173380416699</v>
      </c>
      <c r="D487" t="s">
        <v>516</v>
      </c>
      <c r="E487" t="s">
        <v>517</v>
      </c>
      <c r="F487" t="s">
        <v>518</v>
      </c>
      <c r="G487" t="s">
        <v>2010</v>
      </c>
      <c r="I487" s="8" t="e">
        <f>MATCH(A487,'GC-B cell original comparision'!$E$6:$E$237,0)</f>
        <v>#N/A</v>
      </c>
    </row>
    <row r="488" spans="1:9">
      <c r="A488">
        <v>10467091</v>
      </c>
      <c r="B488">
        <v>2.1943989559510699</v>
      </c>
      <c r="C488">
        <v>0.26367670721333503</v>
      </c>
      <c r="D488" t="s">
        <v>519</v>
      </c>
      <c r="E488" t="s">
        <v>520</v>
      </c>
      <c r="F488" t="s">
        <v>2069</v>
      </c>
      <c r="G488" t="s">
        <v>2010</v>
      </c>
      <c r="I488" s="8">
        <f>MATCH(A488,'GC-B cell original comparision'!$E$6:$E$237,0)</f>
        <v>193</v>
      </c>
    </row>
    <row r="489" spans="1:9">
      <c r="A489">
        <v>10577655</v>
      </c>
      <c r="B489">
        <v>2.1933131702899198</v>
      </c>
      <c r="C489">
        <v>0.17728606158926</v>
      </c>
      <c r="D489" t="s">
        <v>521</v>
      </c>
      <c r="E489" t="s">
        <v>522</v>
      </c>
      <c r="F489" t="s">
        <v>523</v>
      </c>
      <c r="G489" t="s">
        <v>2010</v>
      </c>
      <c r="I489" s="8" t="e">
        <f>MATCH(A489,'GC-B cell original comparision'!$E$6:$E$237,0)</f>
        <v>#N/A</v>
      </c>
    </row>
    <row r="490" spans="1:9">
      <c r="A490">
        <v>10510422</v>
      </c>
      <c r="B490">
        <v>2.1923327055481501</v>
      </c>
      <c r="C490">
        <v>0.54247774698243301</v>
      </c>
      <c r="D490" t="s">
        <v>524</v>
      </c>
      <c r="E490" t="s">
        <v>525</v>
      </c>
      <c r="F490" t="s">
        <v>526</v>
      </c>
      <c r="G490" t="s">
        <v>2010</v>
      </c>
      <c r="I490" s="8" t="e">
        <f>MATCH(A490,'GC-B cell original comparision'!$E$6:$E$237,0)</f>
        <v>#N/A</v>
      </c>
    </row>
    <row r="491" spans="1:9">
      <c r="A491">
        <v>10533474</v>
      </c>
      <c r="B491">
        <v>2.1875181358205702</v>
      </c>
      <c r="C491">
        <v>0.32484655337964902</v>
      </c>
      <c r="D491" t="s">
        <v>527</v>
      </c>
      <c r="E491" t="s">
        <v>528</v>
      </c>
      <c r="F491" t="s">
        <v>700</v>
      </c>
      <c r="G491" t="s">
        <v>2010</v>
      </c>
      <c r="I491" s="8" t="e">
        <f>MATCH(A491,'GC-B cell original comparision'!$E$6:$E$237,0)</f>
        <v>#N/A</v>
      </c>
    </row>
    <row r="492" spans="1:9">
      <c r="A492">
        <v>10341742</v>
      </c>
      <c r="B492">
        <v>2.1862671372017202</v>
      </c>
      <c r="C492">
        <v>0.57073106432043197</v>
      </c>
      <c r="D492" s="10" t="s">
        <v>2038</v>
      </c>
      <c r="E492" s="10"/>
      <c r="I492" s="8" t="e">
        <f>MATCH(A492,'GC-B cell original comparision'!$E$6:$E$237,0)</f>
        <v>#N/A</v>
      </c>
    </row>
    <row r="493" spans="1:9">
      <c r="A493">
        <v>10529741</v>
      </c>
      <c r="B493">
        <v>2.18551137043191</v>
      </c>
      <c r="C493">
        <v>0.51796110608804802</v>
      </c>
      <c r="D493" t="s">
        <v>701</v>
      </c>
      <c r="E493" t="s">
        <v>702</v>
      </c>
      <c r="F493" t="s">
        <v>703</v>
      </c>
      <c r="G493" t="s">
        <v>2010</v>
      </c>
      <c r="I493" s="8" t="e">
        <f>MATCH(A493,'GC-B cell original comparision'!$E$6:$E$237,0)</f>
        <v>#N/A</v>
      </c>
    </row>
    <row r="494" spans="1:9">
      <c r="A494">
        <v>10486522</v>
      </c>
      <c r="B494">
        <v>2.1813279009862101</v>
      </c>
      <c r="C494">
        <v>0.59954669700961005</v>
      </c>
      <c r="D494" t="s">
        <v>704</v>
      </c>
      <c r="E494" t="s">
        <v>705</v>
      </c>
      <c r="F494" t="s">
        <v>706</v>
      </c>
      <c r="G494" t="s">
        <v>2010</v>
      </c>
      <c r="I494" s="8" t="e">
        <f>MATCH(A494,'GC-B cell original comparision'!$E$6:$E$237,0)</f>
        <v>#N/A</v>
      </c>
    </row>
    <row r="495" spans="1:9">
      <c r="A495">
        <v>10600765</v>
      </c>
      <c r="B495">
        <v>2.1708156436513</v>
      </c>
      <c r="C495">
        <v>0.64002686886567195</v>
      </c>
      <c r="D495" t="s">
        <v>707</v>
      </c>
      <c r="E495" t="s">
        <v>708</v>
      </c>
      <c r="F495" t="s">
        <v>535</v>
      </c>
      <c r="G495" t="s">
        <v>2010</v>
      </c>
      <c r="I495" s="8" t="e">
        <f>MATCH(A495,'GC-B cell original comparision'!$E$6:$E$237,0)</f>
        <v>#N/A</v>
      </c>
    </row>
    <row r="496" spans="1:9">
      <c r="A496">
        <v>10397717</v>
      </c>
      <c r="B496">
        <v>2.1668555014674502</v>
      </c>
      <c r="C496">
        <v>0.26680880008597102</v>
      </c>
      <c r="D496" t="s">
        <v>536</v>
      </c>
      <c r="E496" t="s">
        <v>537</v>
      </c>
      <c r="F496" t="s">
        <v>538</v>
      </c>
      <c r="G496" t="s">
        <v>2010</v>
      </c>
      <c r="I496" s="8">
        <f>MATCH(A496,'GC-B cell original comparision'!$E$6:$E$237,0)</f>
        <v>226</v>
      </c>
    </row>
    <row r="497" spans="1:9">
      <c r="A497">
        <v>10582599</v>
      </c>
      <c r="B497">
        <v>2.1662056756237602</v>
      </c>
      <c r="C497">
        <v>0.41692669489886602</v>
      </c>
      <c r="D497" t="s">
        <v>539</v>
      </c>
      <c r="E497" t="s">
        <v>540</v>
      </c>
      <c r="F497" t="s">
        <v>541</v>
      </c>
      <c r="G497" t="s">
        <v>2010</v>
      </c>
      <c r="I497" s="8">
        <f>MATCH(A497,'GC-B cell original comparision'!$E$6:$E$237,0)</f>
        <v>200</v>
      </c>
    </row>
    <row r="498" spans="1:9">
      <c r="A498">
        <v>10389717</v>
      </c>
      <c r="B498">
        <v>2.1619196009436599</v>
      </c>
      <c r="C498">
        <v>0.18499909258741801</v>
      </c>
      <c r="D498" s="10" t="s">
        <v>2038</v>
      </c>
      <c r="E498" s="10"/>
      <c r="I498" s="8" t="e">
        <f>MATCH(A498,'GC-B cell original comparision'!$E$6:$E$237,0)</f>
        <v>#N/A</v>
      </c>
    </row>
    <row r="499" spans="1:9">
      <c r="A499">
        <v>10483563</v>
      </c>
      <c r="B499">
        <v>2.1580809589932302</v>
      </c>
      <c r="C499">
        <v>0.430544359133542</v>
      </c>
      <c r="D499" t="s">
        <v>542</v>
      </c>
      <c r="E499" t="s">
        <v>543</v>
      </c>
      <c r="F499" t="s">
        <v>544</v>
      </c>
      <c r="G499" t="s">
        <v>2010</v>
      </c>
      <c r="I499" s="8" t="e">
        <f>MATCH(A499,'GC-B cell original comparision'!$E$6:$E$237,0)</f>
        <v>#N/A</v>
      </c>
    </row>
    <row r="500" spans="1:9">
      <c r="A500">
        <v>10344633</v>
      </c>
      <c r="B500">
        <v>2.1571994023448302</v>
      </c>
      <c r="C500">
        <v>0.66361841845748804</v>
      </c>
      <c r="D500" t="s">
        <v>545</v>
      </c>
      <c r="E500" t="s">
        <v>546</v>
      </c>
      <c r="F500" t="s">
        <v>547</v>
      </c>
      <c r="G500" t="s">
        <v>2010</v>
      </c>
      <c r="I500" s="8">
        <f>MATCH(A500,'GC-B cell original comparision'!$E$6:$E$237,0)</f>
        <v>227</v>
      </c>
    </row>
    <row r="501" spans="1:9">
      <c r="A501">
        <v>10450744</v>
      </c>
      <c r="B501">
        <v>2.1542103803816399</v>
      </c>
      <c r="C501">
        <v>0.228726999361893</v>
      </c>
      <c r="D501" t="s">
        <v>721</v>
      </c>
      <c r="E501" t="s">
        <v>722</v>
      </c>
      <c r="F501" t="s">
        <v>723</v>
      </c>
      <c r="G501" t="s">
        <v>2015</v>
      </c>
      <c r="I501" s="8" t="e">
        <f>MATCH(A501,'GC-B cell original comparision'!$E$6:$E$237,0)</f>
        <v>#N/A</v>
      </c>
    </row>
    <row r="502" spans="1:9">
      <c r="A502">
        <v>10431974</v>
      </c>
      <c r="B502">
        <v>2.1507383754287699</v>
      </c>
      <c r="C502">
        <v>0.182427594803834</v>
      </c>
      <c r="D502" t="s">
        <v>724</v>
      </c>
      <c r="E502" t="s">
        <v>725</v>
      </c>
      <c r="F502" t="s">
        <v>726</v>
      </c>
      <c r="G502" t="s">
        <v>2010</v>
      </c>
      <c r="I502" s="8" t="e">
        <f>MATCH(A502,'GC-B cell original comparision'!$E$6:$E$237,0)</f>
        <v>#N/A</v>
      </c>
    </row>
    <row r="503" spans="1:9">
      <c r="A503">
        <v>10587495</v>
      </c>
      <c r="B503">
        <v>2.1498994239056799</v>
      </c>
      <c r="C503">
        <v>0.34049162022815599</v>
      </c>
      <c r="D503" t="s">
        <v>555</v>
      </c>
      <c r="E503" t="s">
        <v>556</v>
      </c>
      <c r="F503" t="s">
        <v>557</v>
      </c>
      <c r="G503" t="s">
        <v>2010</v>
      </c>
      <c r="I503" s="8">
        <f>MATCH(A503,'GC-B cell original comparision'!$E$6:$E$237,0)</f>
        <v>232</v>
      </c>
    </row>
    <row r="504" spans="1:9">
      <c r="A504">
        <v>10365830</v>
      </c>
      <c r="B504">
        <v>2.1472171314944601</v>
      </c>
      <c r="C504">
        <v>0.50448398916890902</v>
      </c>
      <c r="D504" s="10" t="s">
        <v>2038</v>
      </c>
      <c r="E504" s="10"/>
      <c r="I504" s="8" t="e">
        <f>MATCH(A504,'GC-B cell original comparision'!$E$6:$E$237,0)</f>
        <v>#N/A</v>
      </c>
    </row>
    <row r="505" spans="1:9">
      <c r="A505">
        <v>10542006</v>
      </c>
      <c r="B505">
        <v>2.1462697503277401</v>
      </c>
      <c r="C505">
        <v>0.91444758084196598</v>
      </c>
      <c r="D505" t="s">
        <v>558</v>
      </c>
      <c r="E505" t="s">
        <v>559</v>
      </c>
      <c r="F505" t="s">
        <v>1966</v>
      </c>
      <c r="G505" t="s">
        <v>2010</v>
      </c>
      <c r="I505" s="8" t="e">
        <f>MATCH(A505,'GC-B cell original comparision'!$E$6:$E$237,0)</f>
        <v>#N/A</v>
      </c>
    </row>
    <row r="506" spans="1:9">
      <c r="A506">
        <v>10571815</v>
      </c>
      <c r="B506">
        <v>2.1396586500894599</v>
      </c>
      <c r="C506">
        <v>0.26074457618858299</v>
      </c>
      <c r="D506" t="s">
        <v>391</v>
      </c>
      <c r="E506" t="s">
        <v>392</v>
      </c>
      <c r="F506" t="s">
        <v>393</v>
      </c>
      <c r="G506" t="s">
        <v>2010</v>
      </c>
      <c r="I506" s="8" t="e">
        <f>MATCH(A506,'GC-B cell original comparision'!$E$6:$E$237,0)</f>
        <v>#N/A</v>
      </c>
    </row>
    <row r="507" spans="1:9">
      <c r="A507">
        <v>10549200</v>
      </c>
      <c r="B507">
        <v>2.1390499459772898</v>
      </c>
      <c r="C507">
        <v>0.38043844704980001</v>
      </c>
      <c r="D507" t="s">
        <v>394</v>
      </c>
      <c r="E507" t="s">
        <v>395</v>
      </c>
      <c r="F507" t="s">
        <v>396</v>
      </c>
      <c r="G507" t="s">
        <v>2010</v>
      </c>
      <c r="I507" s="8" t="e">
        <f>MATCH(A507,'GC-B cell original comparision'!$E$6:$E$237,0)</f>
        <v>#N/A</v>
      </c>
    </row>
    <row r="508" spans="1:9">
      <c r="A508">
        <v>10352320</v>
      </c>
      <c r="B508">
        <v>2.1381034583248102</v>
      </c>
      <c r="C508">
        <v>0.26206543819797401</v>
      </c>
      <c r="D508" t="s">
        <v>397</v>
      </c>
      <c r="E508" t="s">
        <v>398</v>
      </c>
      <c r="F508" t="s">
        <v>399</v>
      </c>
      <c r="G508" t="s">
        <v>2010</v>
      </c>
      <c r="I508" s="8" t="e">
        <f>MATCH(A508,'GC-B cell original comparision'!$E$6:$E$237,0)</f>
        <v>#N/A</v>
      </c>
    </row>
    <row r="509" spans="1:9">
      <c r="A509">
        <v>10590892</v>
      </c>
      <c r="B509">
        <v>2.13679072572203</v>
      </c>
      <c r="C509">
        <v>0.35445153965475001</v>
      </c>
      <c r="D509" t="s">
        <v>400</v>
      </c>
      <c r="E509" t="s">
        <v>401</v>
      </c>
      <c r="F509" t="s">
        <v>402</v>
      </c>
      <c r="G509" t="s">
        <v>2010</v>
      </c>
      <c r="I509" s="8" t="e">
        <f>MATCH(A509,'GC-B cell original comparision'!$E$6:$E$237,0)</f>
        <v>#N/A</v>
      </c>
    </row>
    <row r="510" spans="1:9">
      <c r="A510">
        <v>10537179</v>
      </c>
      <c r="B510">
        <v>2.1271027771664102</v>
      </c>
      <c r="C510">
        <v>0.51188942010910299</v>
      </c>
      <c r="D510" t="s">
        <v>403</v>
      </c>
      <c r="E510" t="s">
        <v>404</v>
      </c>
      <c r="F510" t="s">
        <v>405</v>
      </c>
      <c r="G510" t="s">
        <v>2010</v>
      </c>
      <c r="I510" s="8" t="e">
        <f>MATCH(A510,'GC-B cell original comparision'!$E$6:$E$237,0)</f>
        <v>#N/A</v>
      </c>
    </row>
    <row r="511" spans="1:9">
      <c r="A511">
        <v>10345554</v>
      </c>
      <c r="B511">
        <v>2.1223158695744702</v>
      </c>
      <c r="C511">
        <v>8.2664628729327394E-2</v>
      </c>
      <c r="D511" t="s">
        <v>1612</v>
      </c>
      <c r="E511" t="s">
        <v>1613</v>
      </c>
      <c r="F511" t="s">
        <v>1614</v>
      </c>
      <c r="G511" t="s">
        <v>2010</v>
      </c>
      <c r="I511" s="8" t="e">
        <f>MATCH(A511,'GC-B cell original comparision'!$E$6:$E$237,0)</f>
        <v>#N/A</v>
      </c>
    </row>
    <row r="512" spans="1:9">
      <c r="A512">
        <v>10400795</v>
      </c>
      <c r="B512">
        <v>2.12135517970788</v>
      </c>
      <c r="C512">
        <v>0.44534540531030498</v>
      </c>
      <c r="D512" t="s">
        <v>406</v>
      </c>
      <c r="E512" t="s">
        <v>407</v>
      </c>
      <c r="F512" t="s">
        <v>408</v>
      </c>
      <c r="G512" t="s">
        <v>2010</v>
      </c>
      <c r="I512" s="8" t="e">
        <f>MATCH(A512,'GC-B cell original comparision'!$E$6:$E$237,0)</f>
        <v>#N/A</v>
      </c>
    </row>
    <row r="513" spans="1:9">
      <c r="A513">
        <v>10390507</v>
      </c>
      <c r="B513">
        <v>2.11650329600789</v>
      </c>
      <c r="C513">
        <v>0.374433679135668</v>
      </c>
      <c r="D513" t="s">
        <v>409</v>
      </c>
      <c r="E513" t="s">
        <v>410</v>
      </c>
      <c r="F513" t="s">
        <v>411</v>
      </c>
      <c r="G513" t="s">
        <v>2010</v>
      </c>
      <c r="I513" s="8" t="e">
        <f>MATCH(A513,'GC-B cell original comparision'!$E$6:$E$237,0)</f>
        <v>#N/A</v>
      </c>
    </row>
    <row r="514" spans="1:9">
      <c r="A514">
        <v>10421810</v>
      </c>
      <c r="B514">
        <v>2.10986684554807</v>
      </c>
      <c r="C514">
        <v>0.48636094421780202</v>
      </c>
      <c r="D514" t="s">
        <v>412</v>
      </c>
      <c r="E514" t="s">
        <v>577</v>
      </c>
      <c r="F514" t="s">
        <v>578</v>
      </c>
      <c r="G514" t="s">
        <v>2010</v>
      </c>
      <c r="I514" s="8" t="e">
        <f>MATCH(A514,'GC-B cell original comparision'!$E$6:$E$237,0)</f>
        <v>#N/A</v>
      </c>
    </row>
    <row r="515" spans="1:9">
      <c r="A515">
        <v>10437594</v>
      </c>
      <c r="B515">
        <v>2.1070189501952301</v>
      </c>
      <c r="C515">
        <v>4.5417755587970801E-2</v>
      </c>
      <c r="D515" t="s">
        <v>579</v>
      </c>
      <c r="E515" t="s">
        <v>580</v>
      </c>
      <c r="F515" t="s">
        <v>581</v>
      </c>
      <c r="G515" t="s">
        <v>2010</v>
      </c>
      <c r="I515" s="8" t="e">
        <f>MATCH(A515,'GC-B cell original comparision'!$E$6:$E$237,0)</f>
        <v>#N/A</v>
      </c>
    </row>
    <row r="516" spans="1:9">
      <c r="A516">
        <v>10379795</v>
      </c>
      <c r="B516">
        <v>2.1035763749504701</v>
      </c>
      <c r="C516">
        <v>0.16027132383652301</v>
      </c>
      <c r="D516" t="s">
        <v>582</v>
      </c>
      <c r="E516" t="s">
        <v>583</v>
      </c>
      <c r="F516" t="s">
        <v>584</v>
      </c>
      <c r="G516" t="s">
        <v>2010</v>
      </c>
      <c r="I516" s="8" t="e">
        <f>MATCH(A516,'GC-B cell original comparision'!$E$6:$E$237,0)</f>
        <v>#N/A</v>
      </c>
    </row>
    <row r="517" spans="1:9">
      <c r="A517">
        <v>10448803</v>
      </c>
      <c r="B517">
        <v>2.1028859863368901</v>
      </c>
      <c r="C517">
        <v>0.68862885427832998</v>
      </c>
      <c r="D517" t="s">
        <v>585</v>
      </c>
      <c r="E517" t="s">
        <v>586</v>
      </c>
      <c r="F517" t="s">
        <v>587</v>
      </c>
      <c r="G517" t="s">
        <v>2010</v>
      </c>
      <c r="I517" s="8" t="e">
        <f>MATCH(A517,'GC-B cell original comparision'!$E$6:$E$237,0)</f>
        <v>#N/A</v>
      </c>
    </row>
    <row r="518" spans="1:9">
      <c r="A518">
        <v>10535273</v>
      </c>
      <c r="B518">
        <v>2.1003411565181</v>
      </c>
      <c r="C518">
        <v>0.133616667769478</v>
      </c>
      <c r="D518" t="s">
        <v>588</v>
      </c>
      <c r="E518" t="s">
        <v>589</v>
      </c>
      <c r="F518" t="s">
        <v>590</v>
      </c>
      <c r="G518" t="s">
        <v>2010</v>
      </c>
      <c r="I518" s="8" t="e">
        <f>MATCH(A518,'GC-B cell original comparision'!$E$6:$E$237,0)</f>
        <v>#N/A</v>
      </c>
    </row>
    <row r="519" spans="1:9">
      <c r="A519">
        <v>10352133</v>
      </c>
      <c r="B519">
        <v>2.1000980377499698</v>
      </c>
      <c r="C519">
        <v>0.48248769057983798</v>
      </c>
      <c r="D519" t="s">
        <v>591</v>
      </c>
      <c r="E519" t="s">
        <v>592</v>
      </c>
      <c r="F519" t="s">
        <v>593</v>
      </c>
      <c r="G519" t="s">
        <v>2010</v>
      </c>
      <c r="I519" s="8" t="e">
        <f>MATCH(A519,'GC-B cell original comparision'!$E$6:$E$237,0)</f>
        <v>#N/A</v>
      </c>
    </row>
    <row r="520" spans="1:9">
      <c r="A520">
        <v>10364093</v>
      </c>
      <c r="B520">
        <v>2.0932497319739198</v>
      </c>
      <c r="C520">
        <v>0.482608665439343</v>
      </c>
      <c r="D520" t="s">
        <v>430</v>
      </c>
      <c r="E520" t="s">
        <v>431</v>
      </c>
      <c r="F520" t="s">
        <v>432</v>
      </c>
      <c r="G520" t="s">
        <v>2010</v>
      </c>
      <c r="I520" s="8" t="e">
        <f>MATCH(A520,'GC-B cell original comparision'!$E$6:$E$237,0)</f>
        <v>#N/A</v>
      </c>
    </row>
    <row r="521" spans="1:9">
      <c r="A521">
        <v>10496015</v>
      </c>
      <c r="B521">
        <v>2.0927917573252</v>
      </c>
      <c r="C521">
        <v>3.5041121353926501E-2</v>
      </c>
      <c r="D521" t="s">
        <v>433</v>
      </c>
      <c r="E521" t="s">
        <v>434</v>
      </c>
      <c r="F521" t="s">
        <v>435</v>
      </c>
      <c r="G521" t="s">
        <v>2010</v>
      </c>
      <c r="I521" s="8" t="e">
        <f>MATCH(A521,'GC-B cell original comparision'!$E$6:$E$237,0)</f>
        <v>#N/A</v>
      </c>
    </row>
    <row r="522" spans="1:9">
      <c r="A522">
        <v>10516823</v>
      </c>
      <c r="B522">
        <v>2.0893763912410099</v>
      </c>
      <c r="C522">
        <v>0.46188280719793001</v>
      </c>
      <c r="D522" t="s">
        <v>436</v>
      </c>
      <c r="E522" t="s">
        <v>437</v>
      </c>
      <c r="F522" t="s">
        <v>438</v>
      </c>
      <c r="G522" t="s">
        <v>2010</v>
      </c>
      <c r="I522" s="8" t="e">
        <f>MATCH(A522,'GC-B cell original comparision'!$E$6:$E$237,0)</f>
        <v>#N/A</v>
      </c>
    </row>
    <row r="523" spans="1:9">
      <c r="A523">
        <v>10489364</v>
      </c>
      <c r="B523">
        <v>2.0792718012215001</v>
      </c>
      <c r="C523">
        <v>0.50770447705229604</v>
      </c>
      <c r="D523" t="s">
        <v>439</v>
      </c>
      <c r="E523" t="s">
        <v>440</v>
      </c>
      <c r="F523" t="s">
        <v>441</v>
      </c>
      <c r="G523" t="s">
        <v>2010</v>
      </c>
      <c r="I523" s="8" t="e">
        <f>MATCH(A523,'GC-B cell original comparision'!$E$6:$E$237,0)</f>
        <v>#N/A</v>
      </c>
    </row>
    <row r="524" spans="1:9">
      <c r="A524">
        <v>10566050</v>
      </c>
      <c r="B524">
        <v>2.076974412632</v>
      </c>
      <c r="C524">
        <v>0.30302642712781502</v>
      </c>
      <c r="D524" t="s">
        <v>442</v>
      </c>
      <c r="E524" t="s">
        <v>443</v>
      </c>
      <c r="F524" t="s">
        <v>444</v>
      </c>
      <c r="G524" t="s">
        <v>2010</v>
      </c>
      <c r="I524" s="8" t="e">
        <f>MATCH(A524,'GC-B cell original comparision'!$E$6:$E$237,0)</f>
        <v>#N/A</v>
      </c>
    </row>
    <row r="525" spans="1:9">
      <c r="A525">
        <v>10574087</v>
      </c>
      <c r="B525">
        <v>2.07356081742661</v>
      </c>
      <c r="C525">
        <v>0.458963239670583</v>
      </c>
      <c r="D525" t="s">
        <v>445</v>
      </c>
      <c r="E525" t="s">
        <v>446</v>
      </c>
      <c r="F525" t="s">
        <v>614</v>
      </c>
      <c r="G525" t="s">
        <v>2010</v>
      </c>
      <c r="I525" s="8" t="e">
        <f>MATCH(A525,'GC-B cell original comparision'!$E$6:$E$237,0)</f>
        <v>#N/A</v>
      </c>
    </row>
    <row r="526" spans="1:9">
      <c r="A526">
        <v>10373202</v>
      </c>
      <c r="B526">
        <v>2.06947532850505</v>
      </c>
      <c r="C526">
        <v>0.516726360274404</v>
      </c>
      <c r="D526" t="s">
        <v>615</v>
      </c>
      <c r="E526" t="s">
        <v>616</v>
      </c>
      <c r="F526" t="s">
        <v>617</v>
      </c>
      <c r="G526" t="s">
        <v>2010</v>
      </c>
      <c r="I526" s="8" t="e">
        <f>MATCH(A526,'GC-B cell original comparision'!$E$6:$E$237,0)</f>
        <v>#N/A</v>
      </c>
    </row>
    <row r="527" spans="1:9">
      <c r="A527">
        <v>10351465</v>
      </c>
      <c r="B527">
        <v>2.0659428619732001</v>
      </c>
      <c r="C527">
        <v>0.332927363637608</v>
      </c>
      <c r="D527" t="s">
        <v>618</v>
      </c>
      <c r="E527" t="s">
        <v>619</v>
      </c>
      <c r="F527" t="s">
        <v>455</v>
      </c>
      <c r="G527" t="s">
        <v>2010</v>
      </c>
      <c r="I527" s="8" t="e">
        <f>MATCH(A527,'GC-B cell original comparision'!$E$6:$E$237,0)</f>
        <v>#N/A</v>
      </c>
    </row>
    <row r="528" spans="1:9">
      <c r="A528">
        <v>10410877</v>
      </c>
      <c r="B528">
        <v>2.0645829059815899</v>
      </c>
      <c r="C528">
        <v>0.43603761369346999</v>
      </c>
      <c r="D528" t="s">
        <v>456</v>
      </c>
      <c r="E528" t="s">
        <v>457</v>
      </c>
      <c r="F528" t="s">
        <v>458</v>
      </c>
      <c r="G528" t="s">
        <v>2010</v>
      </c>
      <c r="I528" s="8" t="e">
        <f>MATCH(A528,'GC-B cell original comparision'!$E$6:$E$237,0)</f>
        <v>#N/A</v>
      </c>
    </row>
    <row r="529" spans="1:9">
      <c r="A529">
        <v>10409330</v>
      </c>
      <c r="B529">
        <v>2.0611322357821602</v>
      </c>
      <c r="C529">
        <v>0.27754078114178299</v>
      </c>
      <c r="D529" t="s">
        <v>459</v>
      </c>
      <c r="E529" t="s">
        <v>460</v>
      </c>
      <c r="F529" t="s">
        <v>461</v>
      </c>
      <c r="G529" t="s">
        <v>2010</v>
      </c>
      <c r="I529" s="8" t="e">
        <f>MATCH(A529,'GC-B cell original comparision'!$E$6:$E$237,0)</f>
        <v>#N/A</v>
      </c>
    </row>
    <row r="530" spans="1:9">
      <c r="A530">
        <v>10590690</v>
      </c>
      <c r="B530">
        <v>2.05934507055035</v>
      </c>
      <c r="C530">
        <v>0.53320965842499501</v>
      </c>
      <c r="D530" t="s">
        <v>462</v>
      </c>
      <c r="E530" t="s">
        <v>463</v>
      </c>
      <c r="F530" t="s">
        <v>464</v>
      </c>
      <c r="G530" t="s">
        <v>2010</v>
      </c>
      <c r="I530" s="8" t="e">
        <f>MATCH(A530,'GC-B cell original comparision'!$E$6:$E$237,0)</f>
        <v>#N/A</v>
      </c>
    </row>
    <row r="531" spans="1:9">
      <c r="A531">
        <v>10409508</v>
      </c>
      <c r="B531">
        <v>2.056391042525</v>
      </c>
      <c r="C531">
        <v>0.51127807552026805</v>
      </c>
      <c r="D531" t="s">
        <v>465</v>
      </c>
      <c r="E531" t="s">
        <v>466</v>
      </c>
      <c r="F531" t="s">
        <v>635</v>
      </c>
      <c r="G531" t="s">
        <v>2010</v>
      </c>
      <c r="I531" s="8" t="e">
        <f>MATCH(A531,'GC-B cell original comparision'!$E$6:$E$237,0)</f>
        <v>#N/A</v>
      </c>
    </row>
    <row r="532" spans="1:9">
      <c r="A532">
        <v>10407126</v>
      </c>
      <c r="B532">
        <v>2.0560289109994598</v>
      </c>
      <c r="C532">
        <v>0.35928732159547899</v>
      </c>
      <c r="D532" t="s">
        <v>636</v>
      </c>
      <c r="E532" t="s">
        <v>637</v>
      </c>
      <c r="F532" t="s">
        <v>638</v>
      </c>
      <c r="G532" t="s">
        <v>2010</v>
      </c>
      <c r="I532" s="8" t="e">
        <f>MATCH(A532,'GC-B cell original comparision'!$E$6:$E$237,0)</f>
        <v>#N/A</v>
      </c>
    </row>
    <row r="533" spans="1:9">
      <c r="A533">
        <v>10522784</v>
      </c>
      <c r="B533">
        <v>2.0553526677543301</v>
      </c>
      <c r="C533">
        <v>0.65384322064335898</v>
      </c>
      <c r="D533" t="s">
        <v>639</v>
      </c>
      <c r="E533" t="s">
        <v>640</v>
      </c>
      <c r="F533" t="s">
        <v>471</v>
      </c>
      <c r="G533" t="s">
        <v>2010</v>
      </c>
      <c r="I533" s="8" t="e">
        <f>MATCH(A533,'GC-B cell original comparision'!$E$6:$E$237,0)</f>
        <v>#N/A</v>
      </c>
    </row>
    <row r="534" spans="1:9">
      <c r="A534">
        <v>10357164</v>
      </c>
      <c r="B534">
        <v>2.0542372311391301</v>
      </c>
      <c r="C534">
        <v>0.18047564063900701</v>
      </c>
      <c r="D534" t="s">
        <v>472</v>
      </c>
      <c r="E534" t="s">
        <v>473</v>
      </c>
      <c r="F534" t="s">
        <v>474</v>
      </c>
      <c r="G534" t="s">
        <v>2010</v>
      </c>
      <c r="I534" s="8" t="e">
        <f>MATCH(A534,'GC-B cell original comparision'!$E$6:$E$237,0)</f>
        <v>#N/A</v>
      </c>
    </row>
    <row r="535" spans="1:9">
      <c r="A535">
        <v>10456556</v>
      </c>
      <c r="B535">
        <v>2.0531172651533698</v>
      </c>
      <c r="C535">
        <v>0.27486669507299299</v>
      </c>
      <c r="D535" t="s">
        <v>475</v>
      </c>
      <c r="E535" t="s">
        <v>476</v>
      </c>
      <c r="F535" t="s">
        <v>477</v>
      </c>
      <c r="G535" t="s">
        <v>2010</v>
      </c>
      <c r="I535" s="8" t="e">
        <f>MATCH(A535,'GC-B cell original comparision'!$E$6:$E$237,0)</f>
        <v>#N/A</v>
      </c>
    </row>
    <row r="536" spans="1:9">
      <c r="A536">
        <v>10441706</v>
      </c>
      <c r="B536">
        <v>2.0480292854536502</v>
      </c>
      <c r="C536">
        <v>0.23790719632558599</v>
      </c>
      <c r="D536" t="s">
        <v>305</v>
      </c>
      <c r="E536" t="s">
        <v>306</v>
      </c>
      <c r="F536" t="s">
        <v>307</v>
      </c>
      <c r="G536" t="s">
        <v>2010</v>
      </c>
      <c r="I536" s="8" t="e">
        <f>MATCH(A536,'GC-B cell original comparision'!$E$6:$E$237,0)</f>
        <v>#N/A</v>
      </c>
    </row>
    <row r="537" spans="1:9">
      <c r="A537">
        <v>10344723</v>
      </c>
      <c r="B537">
        <v>2.04648517150684</v>
      </c>
      <c r="C537">
        <v>0.215356336781068</v>
      </c>
      <c r="D537" t="s">
        <v>308</v>
      </c>
      <c r="E537" t="s">
        <v>309</v>
      </c>
      <c r="F537" t="s">
        <v>310</v>
      </c>
      <c r="G537" t="s">
        <v>2010</v>
      </c>
      <c r="I537" s="8" t="e">
        <f>MATCH(A537,'GC-B cell original comparision'!$E$6:$E$237,0)</f>
        <v>#N/A</v>
      </c>
    </row>
    <row r="538" spans="1:9">
      <c r="A538">
        <v>10458138</v>
      </c>
      <c r="B538">
        <v>2.0426857559501999</v>
      </c>
      <c r="C538">
        <v>0.62758715238472795</v>
      </c>
      <c r="D538" t="s">
        <v>311</v>
      </c>
      <c r="E538" t="s">
        <v>312</v>
      </c>
      <c r="F538" t="s">
        <v>313</v>
      </c>
      <c r="G538" t="s">
        <v>2010</v>
      </c>
      <c r="I538" s="8" t="e">
        <f>MATCH(A538,'GC-B cell original comparision'!$E$6:$E$237,0)</f>
        <v>#N/A</v>
      </c>
    </row>
    <row r="539" spans="1:9">
      <c r="A539">
        <v>10553993</v>
      </c>
      <c r="B539">
        <v>2.0415066775763302</v>
      </c>
      <c r="C539">
        <v>0.34063728311666902</v>
      </c>
      <c r="D539" t="s">
        <v>314</v>
      </c>
      <c r="E539" t="s">
        <v>315</v>
      </c>
      <c r="F539" t="s">
        <v>316</v>
      </c>
      <c r="G539" t="s">
        <v>2010</v>
      </c>
      <c r="I539" s="8" t="e">
        <f>MATCH(A539,'GC-B cell original comparision'!$E$6:$E$237,0)</f>
        <v>#N/A</v>
      </c>
    </row>
    <row r="540" spans="1:9">
      <c r="A540">
        <v>10445702</v>
      </c>
      <c r="B540">
        <v>2.0404440668007702</v>
      </c>
      <c r="C540">
        <v>0.50906785389924403</v>
      </c>
      <c r="D540" t="s">
        <v>317</v>
      </c>
      <c r="E540" t="s">
        <v>318</v>
      </c>
      <c r="F540" t="s">
        <v>319</v>
      </c>
      <c r="G540" t="s">
        <v>2010</v>
      </c>
      <c r="I540" s="8" t="e">
        <f>MATCH(A540,'GC-B cell original comparision'!$E$6:$E$237,0)</f>
        <v>#N/A</v>
      </c>
    </row>
    <row r="541" spans="1:9">
      <c r="A541">
        <v>10481474</v>
      </c>
      <c r="B541">
        <v>2.0376247640824299</v>
      </c>
      <c r="C541">
        <v>0.43039093007851797</v>
      </c>
      <c r="D541" t="s">
        <v>320</v>
      </c>
      <c r="E541" t="s">
        <v>321</v>
      </c>
      <c r="F541" t="s">
        <v>322</v>
      </c>
      <c r="G541" t="s">
        <v>2010</v>
      </c>
      <c r="I541" s="8" t="e">
        <f>MATCH(A541,'GC-B cell original comparision'!$E$6:$E$237,0)</f>
        <v>#N/A</v>
      </c>
    </row>
    <row r="542" spans="1:9">
      <c r="A542">
        <v>10352306</v>
      </c>
      <c r="B542">
        <v>2.0359548861552499</v>
      </c>
      <c r="C542">
        <v>0.42756306378758502</v>
      </c>
      <c r="D542" t="s">
        <v>494</v>
      </c>
      <c r="E542" t="s">
        <v>495</v>
      </c>
      <c r="F542" t="s">
        <v>496</v>
      </c>
      <c r="G542" t="s">
        <v>2010</v>
      </c>
      <c r="I542" s="8" t="e">
        <f>MATCH(A542,'GC-B cell original comparision'!$E$6:$E$237,0)</f>
        <v>#N/A</v>
      </c>
    </row>
    <row r="543" spans="1:9">
      <c r="A543">
        <v>10525374</v>
      </c>
      <c r="B543">
        <v>2.0315571161950299</v>
      </c>
      <c r="C543">
        <v>0.31112322559295003</v>
      </c>
      <c r="D543" t="s">
        <v>497</v>
      </c>
      <c r="E543" t="s">
        <v>498</v>
      </c>
      <c r="F543" t="s">
        <v>499</v>
      </c>
      <c r="G543" t="s">
        <v>2010</v>
      </c>
      <c r="I543" s="8" t="e">
        <f>MATCH(A543,'GC-B cell original comparision'!$E$6:$E$237,0)</f>
        <v>#N/A</v>
      </c>
    </row>
    <row r="544" spans="1:9">
      <c r="A544">
        <v>10406733</v>
      </c>
      <c r="B544">
        <v>2.0300322378061999</v>
      </c>
      <c r="C544">
        <v>0.25128577857033102</v>
      </c>
      <c r="D544" t="s">
        <v>500</v>
      </c>
      <c r="E544" t="s">
        <v>501</v>
      </c>
      <c r="F544" t="s">
        <v>502</v>
      </c>
      <c r="G544" t="s">
        <v>2010</v>
      </c>
      <c r="I544" s="8" t="e">
        <f>MATCH(A544,'GC-B cell original comparision'!$E$6:$E$237,0)</f>
        <v>#N/A</v>
      </c>
    </row>
    <row r="545" spans="1:9">
      <c r="A545">
        <v>10488892</v>
      </c>
      <c r="B545">
        <v>2.0263968694691799</v>
      </c>
      <c r="C545">
        <v>0.63109260198215</v>
      </c>
      <c r="D545" t="s">
        <v>503</v>
      </c>
      <c r="E545" t="s">
        <v>504</v>
      </c>
      <c r="F545" t="s">
        <v>505</v>
      </c>
      <c r="G545" t="s">
        <v>2010</v>
      </c>
      <c r="I545" s="8" t="e">
        <f>MATCH(A545,'GC-B cell original comparision'!$E$6:$E$237,0)</f>
        <v>#N/A</v>
      </c>
    </row>
    <row r="546" spans="1:9">
      <c r="A546">
        <v>10344803</v>
      </c>
      <c r="B546">
        <v>2.0262592274765701</v>
      </c>
      <c r="C546">
        <v>0.20916591588463901</v>
      </c>
      <c r="D546" t="s">
        <v>506</v>
      </c>
      <c r="E546" t="s">
        <v>507</v>
      </c>
      <c r="F546" t="s">
        <v>341</v>
      </c>
      <c r="G546" t="s">
        <v>2010</v>
      </c>
      <c r="I546" s="8" t="e">
        <f>MATCH(A546,'GC-B cell original comparision'!$E$6:$E$237,0)</f>
        <v>#N/A</v>
      </c>
    </row>
    <row r="547" spans="1:9">
      <c r="A547">
        <v>10384150</v>
      </c>
      <c r="B547">
        <v>2.0171653910412402</v>
      </c>
      <c r="C547">
        <v>0.35897170952478002</v>
      </c>
      <c r="D547" t="s">
        <v>342</v>
      </c>
      <c r="E547" t="s">
        <v>343</v>
      </c>
      <c r="F547" t="s">
        <v>344</v>
      </c>
      <c r="G547" t="s">
        <v>2010</v>
      </c>
      <c r="I547" s="8" t="e">
        <f>MATCH(A547,'GC-B cell original comparision'!$E$6:$E$237,0)</f>
        <v>#N/A</v>
      </c>
    </row>
    <row r="548" spans="1:9">
      <c r="A548">
        <v>10401181</v>
      </c>
      <c r="B548">
        <v>2.0165594321821301</v>
      </c>
      <c r="C548">
        <v>0.46939539934734398</v>
      </c>
      <c r="D548" t="s">
        <v>345</v>
      </c>
      <c r="E548" t="s">
        <v>346</v>
      </c>
      <c r="F548" t="s">
        <v>347</v>
      </c>
      <c r="G548" t="s">
        <v>2010</v>
      </c>
      <c r="I548" s="8" t="e">
        <f>MATCH(A548,'GC-B cell original comparision'!$E$6:$E$237,0)</f>
        <v>#N/A</v>
      </c>
    </row>
    <row r="549" spans="1:9">
      <c r="A549">
        <v>10385790</v>
      </c>
      <c r="B549">
        <v>2.0163231732464699</v>
      </c>
      <c r="C549">
        <v>9.9718712354697203E-2</v>
      </c>
      <c r="D549" t="s">
        <v>348</v>
      </c>
      <c r="E549" t="s">
        <v>349</v>
      </c>
      <c r="F549" t="s">
        <v>350</v>
      </c>
      <c r="G549" t="s">
        <v>2010</v>
      </c>
      <c r="I549" s="8">
        <f>MATCH(A549,'GC-B cell original comparision'!$E$6:$E$237,0)</f>
        <v>214</v>
      </c>
    </row>
    <row r="550" spans="1:9">
      <c r="A550">
        <v>10473356</v>
      </c>
      <c r="B550">
        <v>2.01438968099241</v>
      </c>
      <c r="C550">
        <v>0.10203467865141599</v>
      </c>
      <c r="D550" t="s">
        <v>351</v>
      </c>
      <c r="E550" t="s">
        <v>352</v>
      </c>
      <c r="F550" t="s">
        <v>353</v>
      </c>
      <c r="G550" t="s">
        <v>2010</v>
      </c>
      <c r="I550" s="8" t="e">
        <f>MATCH(A550,'GC-B cell original comparision'!$E$6:$E$237,0)</f>
        <v>#N/A</v>
      </c>
    </row>
    <row r="551" spans="1:9">
      <c r="A551">
        <v>10403066</v>
      </c>
      <c r="B551">
        <v>2.0059528359725198</v>
      </c>
      <c r="C551">
        <v>0.42928825113374602</v>
      </c>
      <c r="D551" t="s">
        <v>354</v>
      </c>
      <c r="E551" t="s">
        <v>355</v>
      </c>
      <c r="F551" t="s">
        <v>529</v>
      </c>
      <c r="G551" t="s">
        <v>1916</v>
      </c>
      <c r="I551" s="8" t="e">
        <f>MATCH(A551,'GC-B cell original comparision'!$E$6:$E$237,0)</f>
        <v>#N/A</v>
      </c>
    </row>
    <row r="552" spans="1:9">
      <c r="A552">
        <v>10479765</v>
      </c>
      <c r="B552">
        <v>2.00574214626895</v>
      </c>
      <c r="C552">
        <v>0.59015066487812995</v>
      </c>
      <c r="D552" t="s">
        <v>530</v>
      </c>
      <c r="E552" t="s">
        <v>531</v>
      </c>
      <c r="F552" t="s">
        <v>532</v>
      </c>
      <c r="G552" t="s">
        <v>2010</v>
      </c>
      <c r="I552" s="8" t="e">
        <f>MATCH(A552,'GC-B cell original comparision'!$E$6:$E$237,0)</f>
        <v>#N/A</v>
      </c>
    </row>
    <row r="553" spans="1:9">
      <c r="A553">
        <v>10369086</v>
      </c>
      <c r="B553">
        <v>2.00539035587293</v>
      </c>
      <c r="C553">
        <v>0.43232884724401099</v>
      </c>
      <c r="D553" t="s">
        <v>533</v>
      </c>
      <c r="E553" t="s">
        <v>534</v>
      </c>
      <c r="F553" t="s">
        <v>365</v>
      </c>
      <c r="G553" t="s">
        <v>2010</v>
      </c>
      <c r="I553" s="8" t="e">
        <f>MATCH(A553,'GC-B cell original comparision'!$E$6:$E$237,0)</f>
        <v>#N/A</v>
      </c>
    </row>
    <row r="554" spans="1:9">
      <c r="A554">
        <v>10510219</v>
      </c>
      <c r="B554">
        <v>2.0053069786964701</v>
      </c>
      <c r="C554">
        <v>0.65560828807596006</v>
      </c>
      <c r="D554" t="s">
        <v>366</v>
      </c>
      <c r="E554" t="s">
        <v>367</v>
      </c>
      <c r="F554" t="s">
        <v>368</v>
      </c>
      <c r="G554" t="s">
        <v>2010</v>
      </c>
      <c r="I554" s="8" t="e">
        <f>MATCH(A554,'GC-B cell original comparision'!$E$6:$E$237,0)</f>
        <v>#N/A</v>
      </c>
    </row>
    <row r="555" spans="1:9">
      <c r="A555">
        <v>10458262</v>
      </c>
      <c r="B555">
        <v>2.0026486686494298</v>
      </c>
      <c r="C555">
        <v>0.40831047641358997</v>
      </c>
      <c r="D555" t="s">
        <v>369</v>
      </c>
      <c r="E555" t="s">
        <v>370</v>
      </c>
      <c r="F555" t="s">
        <v>371</v>
      </c>
      <c r="G555" t="s">
        <v>2010</v>
      </c>
      <c r="I555" s="8" t="e">
        <f>MATCH(A555,'GC-B cell original comparision'!$E$6:$E$237,0)</f>
        <v>#N/A</v>
      </c>
    </row>
    <row r="556" spans="1:9">
      <c r="A556">
        <v>10595059</v>
      </c>
      <c r="B556">
        <v>2.00229948569651</v>
      </c>
      <c r="C556">
        <v>7.2592015940552299E-2</v>
      </c>
      <c r="D556" t="s">
        <v>372</v>
      </c>
      <c r="E556" t="s">
        <v>373</v>
      </c>
      <c r="F556" t="s">
        <v>374</v>
      </c>
      <c r="G556" t="s">
        <v>2010</v>
      </c>
    </row>
    <row r="557" spans="1:9">
      <c r="A557">
        <v>10386743</v>
      </c>
      <c r="B557">
        <v>1.9955113066561401</v>
      </c>
      <c r="C557">
        <v>0.246768372167328</v>
      </c>
      <c r="D557" t="s">
        <v>375</v>
      </c>
      <c r="E557" t="s">
        <v>548</v>
      </c>
      <c r="F557" t="s">
        <v>549</v>
      </c>
      <c r="G557" t="s">
        <v>2010</v>
      </c>
    </row>
    <row r="558" spans="1:9">
      <c r="A558">
        <v>10409202</v>
      </c>
      <c r="B558">
        <v>1.9947227329849899</v>
      </c>
      <c r="C558">
        <v>0.16094405002973999</v>
      </c>
      <c r="D558" s="10" t="s">
        <v>2038</v>
      </c>
      <c r="E558" s="10"/>
    </row>
    <row r="559" spans="1:9">
      <c r="A559">
        <v>10594315</v>
      </c>
      <c r="B559">
        <v>1.99264166535073</v>
      </c>
      <c r="C559">
        <v>0.61281937456684499</v>
      </c>
      <c r="D559" t="s">
        <v>550</v>
      </c>
      <c r="E559" t="s">
        <v>551</v>
      </c>
      <c r="F559" t="s">
        <v>552</v>
      </c>
      <c r="G559" t="s">
        <v>2010</v>
      </c>
    </row>
    <row r="560" spans="1:9">
      <c r="A560">
        <v>10340531</v>
      </c>
      <c r="B560">
        <v>1.9905445034220599</v>
      </c>
      <c r="C560">
        <v>0.56125963054221795</v>
      </c>
      <c r="D560" s="10" t="s">
        <v>2038</v>
      </c>
      <c r="E560" s="10"/>
    </row>
    <row r="561" spans="1:7">
      <c r="A561">
        <v>10437160</v>
      </c>
      <c r="B561">
        <v>1.9879265209337</v>
      </c>
      <c r="C561">
        <v>0.50081139740976899</v>
      </c>
      <c r="D561" t="s">
        <v>553</v>
      </c>
      <c r="E561" t="s">
        <v>554</v>
      </c>
      <c r="F561" t="s">
        <v>383</v>
      </c>
      <c r="G561" t="s">
        <v>2010</v>
      </c>
    </row>
    <row r="562" spans="1:7">
      <c r="A562">
        <v>10409660</v>
      </c>
      <c r="B562">
        <v>1.9843840163944899</v>
      </c>
      <c r="C562">
        <v>0.35649841593973702</v>
      </c>
      <c r="D562" t="s">
        <v>384</v>
      </c>
      <c r="E562" t="s">
        <v>385</v>
      </c>
      <c r="F562" t="s">
        <v>386</v>
      </c>
      <c r="G562" t="s">
        <v>2010</v>
      </c>
    </row>
    <row r="563" spans="1:7">
      <c r="A563">
        <v>10526217</v>
      </c>
      <c r="B563">
        <v>1.9837100653486699</v>
      </c>
      <c r="C563">
        <v>0.43371437995183998</v>
      </c>
      <c r="D563" t="s">
        <v>387</v>
      </c>
      <c r="E563" t="s">
        <v>388</v>
      </c>
      <c r="F563" t="s">
        <v>389</v>
      </c>
      <c r="G563" t="s">
        <v>2010</v>
      </c>
    </row>
    <row r="564" spans="1:7">
      <c r="A564">
        <v>10543686</v>
      </c>
      <c r="B564">
        <v>1.9835622686648899</v>
      </c>
      <c r="C564">
        <v>0.29501182357962402</v>
      </c>
      <c r="D564" t="s">
        <v>491</v>
      </c>
      <c r="E564" t="s">
        <v>492</v>
      </c>
      <c r="F564" t="s">
        <v>493</v>
      </c>
      <c r="G564" t="s">
        <v>2010</v>
      </c>
    </row>
    <row r="565" spans="1:7">
      <c r="A565">
        <v>10406519</v>
      </c>
      <c r="B565">
        <v>1.9811260092455401</v>
      </c>
      <c r="C565">
        <v>0.25300662058808199</v>
      </c>
      <c r="D565" t="s">
        <v>390</v>
      </c>
      <c r="E565" t="s">
        <v>226</v>
      </c>
      <c r="F565" t="s">
        <v>227</v>
      </c>
      <c r="G565" t="s">
        <v>2010</v>
      </c>
    </row>
    <row r="566" spans="1:7">
      <c r="A566">
        <v>10564220</v>
      </c>
      <c r="B566">
        <v>1.9784678047204201</v>
      </c>
      <c r="C566">
        <v>0.156697884373624</v>
      </c>
      <c r="D566" s="10" t="s">
        <v>2038</v>
      </c>
      <c r="E566" s="10"/>
    </row>
    <row r="567" spans="1:7">
      <c r="A567">
        <v>10511498</v>
      </c>
      <c r="B567">
        <v>1.9755397347160899</v>
      </c>
      <c r="C567">
        <v>0.32223595890061402</v>
      </c>
      <c r="D567" t="s">
        <v>228</v>
      </c>
      <c r="E567" t="s">
        <v>229</v>
      </c>
      <c r="F567" t="s">
        <v>230</v>
      </c>
      <c r="G567" t="s">
        <v>2010</v>
      </c>
    </row>
    <row r="568" spans="1:7">
      <c r="A568">
        <v>10353750</v>
      </c>
      <c r="B568">
        <v>1.9753033724984199</v>
      </c>
      <c r="C568">
        <v>0.47244135341566101</v>
      </c>
      <c r="D568" t="s">
        <v>231</v>
      </c>
      <c r="E568" t="s">
        <v>232</v>
      </c>
      <c r="F568" t="s">
        <v>233</v>
      </c>
      <c r="G568" t="s">
        <v>2010</v>
      </c>
    </row>
    <row r="569" spans="1:7">
      <c r="A569">
        <v>10536369</v>
      </c>
      <c r="B569">
        <v>1.97406491255502</v>
      </c>
      <c r="C569">
        <v>0.351622746606923</v>
      </c>
      <c r="D569" t="s">
        <v>234</v>
      </c>
      <c r="E569" t="s">
        <v>235</v>
      </c>
      <c r="F569" t="s">
        <v>236</v>
      </c>
      <c r="G569" t="s">
        <v>2010</v>
      </c>
    </row>
    <row r="570" spans="1:7">
      <c r="A570">
        <v>10401852</v>
      </c>
      <c r="B570">
        <v>1.9715941054397399</v>
      </c>
      <c r="C570">
        <v>0.38413450047685899</v>
      </c>
      <c r="D570" t="s">
        <v>237</v>
      </c>
      <c r="E570" t="s">
        <v>238</v>
      </c>
      <c r="F570" t="s">
        <v>239</v>
      </c>
      <c r="G570" t="s">
        <v>2010</v>
      </c>
    </row>
    <row r="571" spans="1:7">
      <c r="A571">
        <v>10474223</v>
      </c>
      <c r="B571">
        <v>1.96777147993855</v>
      </c>
      <c r="C571">
        <v>0.33626785519981001</v>
      </c>
      <c r="D571" t="s">
        <v>413</v>
      </c>
      <c r="E571" t="s">
        <v>414</v>
      </c>
      <c r="F571" t="s">
        <v>415</v>
      </c>
      <c r="G571" t="s">
        <v>2010</v>
      </c>
    </row>
    <row r="572" spans="1:7">
      <c r="A572">
        <v>10407145</v>
      </c>
      <c r="B572">
        <v>1.9646946384919901</v>
      </c>
      <c r="C572">
        <v>0.10083629219587099</v>
      </c>
      <c r="D572" t="s">
        <v>416</v>
      </c>
      <c r="E572" t="s">
        <v>417</v>
      </c>
      <c r="F572" t="s">
        <v>418</v>
      </c>
      <c r="G572" t="s">
        <v>2010</v>
      </c>
    </row>
    <row r="573" spans="1:7">
      <c r="A573">
        <v>10538873</v>
      </c>
      <c r="B573">
        <v>1.9642599719303599</v>
      </c>
      <c r="C573">
        <v>0.39270653580743797</v>
      </c>
      <c r="D573" s="10" t="s">
        <v>2038</v>
      </c>
      <c r="E573" s="10"/>
    </row>
    <row r="574" spans="1:7">
      <c r="A574">
        <v>10382701</v>
      </c>
      <c r="B574">
        <v>1.96268583490534</v>
      </c>
      <c r="C574">
        <v>0.15164980943114001</v>
      </c>
      <c r="D574" t="s">
        <v>419</v>
      </c>
      <c r="E574" t="s">
        <v>420</v>
      </c>
      <c r="F574" t="s">
        <v>421</v>
      </c>
      <c r="G574" t="s">
        <v>2010</v>
      </c>
    </row>
    <row r="575" spans="1:7">
      <c r="A575">
        <v>10502780</v>
      </c>
      <c r="B575">
        <v>1.9602071774867</v>
      </c>
      <c r="C575">
        <v>0.14979085152114099</v>
      </c>
      <c r="D575" t="s">
        <v>630</v>
      </c>
      <c r="E575" t="s">
        <v>631</v>
      </c>
      <c r="F575" t="s">
        <v>632</v>
      </c>
      <c r="G575" t="s">
        <v>2010</v>
      </c>
    </row>
    <row r="576" spans="1:7">
      <c r="A576">
        <v>10403258</v>
      </c>
      <c r="B576">
        <v>1.95694719150253</v>
      </c>
      <c r="C576">
        <v>0.58486102134950901</v>
      </c>
      <c r="D576" t="s">
        <v>422</v>
      </c>
      <c r="E576" t="s">
        <v>423</v>
      </c>
      <c r="F576" t="s">
        <v>424</v>
      </c>
      <c r="G576" t="s">
        <v>2010</v>
      </c>
    </row>
    <row r="577" spans="1:7">
      <c r="A577">
        <v>10338402</v>
      </c>
      <c r="B577">
        <v>1.95621288935793</v>
      </c>
      <c r="C577">
        <v>0.43473902843376599</v>
      </c>
      <c r="D577" s="10" t="s">
        <v>2038</v>
      </c>
      <c r="E577" s="10"/>
    </row>
    <row r="578" spans="1:7">
      <c r="A578">
        <v>10359339</v>
      </c>
      <c r="B578">
        <v>1.9548644467704199</v>
      </c>
      <c r="C578">
        <v>7.6859602023789997E-2</v>
      </c>
      <c r="D578" t="s">
        <v>425</v>
      </c>
      <c r="E578" t="s">
        <v>426</v>
      </c>
      <c r="F578" t="s">
        <v>427</v>
      </c>
      <c r="G578" t="s">
        <v>2010</v>
      </c>
    </row>
    <row r="579" spans="1:7">
      <c r="A579">
        <v>10453062</v>
      </c>
      <c r="B579">
        <v>1.9541071150693901</v>
      </c>
      <c r="C579">
        <v>0.24547413871490101</v>
      </c>
      <c r="D579" t="s">
        <v>428</v>
      </c>
      <c r="E579" t="s">
        <v>429</v>
      </c>
      <c r="F579" t="s">
        <v>256</v>
      </c>
      <c r="G579" t="s">
        <v>2010</v>
      </c>
    </row>
    <row r="580" spans="1:7">
      <c r="A580">
        <v>10495685</v>
      </c>
      <c r="B580">
        <v>1.95388714144951</v>
      </c>
      <c r="C580">
        <v>0.15798282503011801</v>
      </c>
      <c r="D580" t="s">
        <v>257</v>
      </c>
      <c r="E580" t="s">
        <v>258</v>
      </c>
      <c r="F580" t="s">
        <v>259</v>
      </c>
      <c r="G580" t="s">
        <v>2010</v>
      </c>
    </row>
    <row r="581" spans="1:7">
      <c r="A581">
        <v>10502776</v>
      </c>
      <c r="B581">
        <v>1.9479947289847099</v>
      </c>
      <c r="C581">
        <v>0.28759303569764999</v>
      </c>
      <c r="D581" t="s">
        <v>630</v>
      </c>
      <c r="E581" t="s">
        <v>631</v>
      </c>
      <c r="F581" t="s">
        <v>632</v>
      </c>
      <c r="G581" t="s">
        <v>2010</v>
      </c>
    </row>
    <row r="582" spans="1:7">
      <c r="A582">
        <v>10514713</v>
      </c>
      <c r="B582">
        <v>1.9471313839598701</v>
      </c>
      <c r="C582">
        <v>0.16475113925517201</v>
      </c>
      <c r="D582" t="s">
        <v>260</v>
      </c>
      <c r="E582" t="s">
        <v>261</v>
      </c>
      <c r="F582" t="s">
        <v>262</v>
      </c>
      <c r="G582" t="s">
        <v>2010</v>
      </c>
    </row>
    <row r="583" spans="1:7">
      <c r="A583">
        <v>10597714</v>
      </c>
      <c r="B583">
        <v>1.94635801367534</v>
      </c>
      <c r="C583">
        <v>0.248375565881823</v>
      </c>
      <c r="D583" t="s">
        <v>263</v>
      </c>
      <c r="E583" t="s">
        <v>264</v>
      </c>
      <c r="F583" t="s">
        <v>265</v>
      </c>
      <c r="G583" t="s">
        <v>2010</v>
      </c>
    </row>
    <row r="584" spans="1:7">
      <c r="A584">
        <v>10370837</v>
      </c>
      <c r="B584">
        <v>1.9423356425767999</v>
      </c>
      <c r="C584">
        <v>0.75054764790226502</v>
      </c>
      <c r="D584" t="s">
        <v>266</v>
      </c>
      <c r="E584" t="s">
        <v>267</v>
      </c>
      <c r="F584" t="s">
        <v>268</v>
      </c>
      <c r="G584" t="s">
        <v>2010</v>
      </c>
    </row>
    <row r="585" spans="1:7">
      <c r="A585">
        <v>10408677</v>
      </c>
      <c r="B585">
        <v>1.9383779072312399</v>
      </c>
      <c r="C585">
        <v>0.393737347711546</v>
      </c>
      <c r="D585" t="s">
        <v>269</v>
      </c>
      <c r="E585" t="s">
        <v>270</v>
      </c>
      <c r="F585" t="s">
        <v>271</v>
      </c>
      <c r="G585" t="s">
        <v>2010</v>
      </c>
    </row>
    <row r="586" spans="1:7">
      <c r="A586">
        <v>10340420</v>
      </c>
      <c r="B586">
        <v>1.9278364087116999</v>
      </c>
      <c r="C586">
        <v>0.267649784940584</v>
      </c>
      <c r="D586" s="10" t="s">
        <v>2038</v>
      </c>
      <c r="E586" s="10"/>
    </row>
    <row r="587" spans="1:7">
      <c r="A587">
        <v>10434281</v>
      </c>
      <c r="B587">
        <v>1.92617859340221</v>
      </c>
      <c r="C587">
        <v>0.16529457724819599</v>
      </c>
      <c r="D587" t="s">
        <v>272</v>
      </c>
      <c r="E587" t="s">
        <v>447</v>
      </c>
      <c r="F587" t="s">
        <v>448</v>
      </c>
      <c r="G587" t="s">
        <v>2010</v>
      </c>
    </row>
    <row r="588" spans="1:7">
      <c r="A588">
        <v>10567743</v>
      </c>
      <c r="B588">
        <v>1.9241236417672001</v>
      </c>
      <c r="C588">
        <v>0.26060821801232498</v>
      </c>
      <c r="D588" t="s">
        <v>449</v>
      </c>
      <c r="E588" t="s">
        <v>450</v>
      </c>
      <c r="F588" t="s">
        <v>451</v>
      </c>
      <c r="G588" t="s">
        <v>2010</v>
      </c>
    </row>
    <row r="589" spans="1:7">
      <c r="A589">
        <v>10411690</v>
      </c>
      <c r="B589">
        <v>1.9186083737711599</v>
      </c>
      <c r="C589">
        <v>0.132644129003891</v>
      </c>
      <c r="D589" t="s">
        <v>452</v>
      </c>
      <c r="E589" t="s">
        <v>453</v>
      </c>
      <c r="F589" t="s">
        <v>454</v>
      </c>
      <c r="G589" t="s">
        <v>2010</v>
      </c>
    </row>
    <row r="590" spans="1:7">
      <c r="A590">
        <v>10382565</v>
      </c>
      <c r="B590">
        <v>1.9157679438430499</v>
      </c>
      <c r="C590">
        <v>0.33397028065508799</v>
      </c>
      <c r="D590" t="s">
        <v>281</v>
      </c>
      <c r="E590" t="s">
        <v>282</v>
      </c>
      <c r="F590" t="s">
        <v>283</v>
      </c>
      <c r="G590" t="s">
        <v>2010</v>
      </c>
    </row>
    <row r="591" spans="1:7">
      <c r="A591">
        <v>10338514</v>
      </c>
      <c r="B591">
        <v>1.9157666586214801</v>
      </c>
      <c r="C591">
        <v>0.34973934581670202</v>
      </c>
      <c r="D591" s="10" t="s">
        <v>2038</v>
      </c>
      <c r="E591" s="10"/>
    </row>
    <row r="592" spans="1:7">
      <c r="A592">
        <v>10359190</v>
      </c>
      <c r="B592">
        <v>1.9132904040558401</v>
      </c>
      <c r="C592">
        <v>0.155196408941387</v>
      </c>
      <c r="D592" t="s">
        <v>284</v>
      </c>
      <c r="E592" t="s">
        <v>285</v>
      </c>
      <c r="F592" t="s">
        <v>1908</v>
      </c>
      <c r="G592" t="s">
        <v>2010</v>
      </c>
    </row>
    <row r="593" spans="1:7">
      <c r="A593">
        <v>10486112</v>
      </c>
      <c r="B593">
        <v>1.9131710620612501</v>
      </c>
      <c r="C593">
        <v>0.34976272003567299</v>
      </c>
      <c r="D593" t="s">
        <v>286</v>
      </c>
      <c r="E593" t="s">
        <v>287</v>
      </c>
      <c r="F593" t="s">
        <v>288</v>
      </c>
      <c r="G593" t="s">
        <v>2010</v>
      </c>
    </row>
    <row r="594" spans="1:7">
      <c r="A594">
        <v>10395394</v>
      </c>
      <c r="B594">
        <v>1.9131321281604099</v>
      </c>
      <c r="C594">
        <v>0.23049085246126</v>
      </c>
      <c r="D594" t="s">
        <v>289</v>
      </c>
      <c r="E594" t="s">
        <v>290</v>
      </c>
      <c r="F594" t="s">
        <v>291</v>
      </c>
      <c r="G594" t="s">
        <v>2010</v>
      </c>
    </row>
    <row r="595" spans="1:7">
      <c r="A595">
        <v>10411287</v>
      </c>
      <c r="B595">
        <v>1.9125147506704701</v>
      </c>
      <c r="C595">
        <v>0.28363046318928198</v>
      </c>
      <c r="D595" t="s">
        <v>292</v>
      </c>
      <c r="E595" t="s">
        <v>293</v>
      </c>
      <c r="F595" t="s">
        <v>294</v>
      </c>
      <c r="G595" t="s">
        <v>2010</v>
      </c>
    </row>
    <row r="596" spans="1:7">
      <c r="A596">
        <v>10565250</v>
      </c>
      <c r="B596">
        <v>1.9039573503149201</v>
      </c>
      <c r="C596">
        <v>0.20972405482811901</v>
      </c>
      <c r="D596" t="s">
        <v>295</v>
      </c>
      <c r="E596" t="s">
        <v>296</v>
      </c>
      <c r="F596" t="s">
        <v>467</v>
      </c>
      <c r="G596" t="s">
        <v>2010</v>
      </c>
    </row>
    <row r="597" spans="1:7">
      <c r="A597">
        <v>10463164</v>
      </c>
      <c r="B597">
        <v>1.9037848801056501</v>
      </c>
      <c r="C597">
        <v>0.28992475149142199</v>
      </c>
      <c r="D597" t="s">
        <v>468</v>
      </c>
      <c r="E597" t="s">
        <v>469</v>
      </c>
      <c r="F597" t="s">
        <v>470</v>
      </c>
      <c r="G597" t="s">
        <v>2010</v>
      </c>
    </row>
    <row r="598" spans="1:7">
      <c r="A598">
        <v>10515051</v>
      </c>
      <c r="B598">
        <v>1.9037295994025101</v>
      </c>
      <c r="C598">
        <v>0.39009019068234002</v>
      </c>
      <c r="D598" t="s">
        <v>299</v>
      </c>
      <c r="E598" t="s">
        <v>300</v>
      </c>
      <c r="F598" t="s">
        <v>301</v>
      </c>
      <c r="G598" t="s">
        <v>2010</v>
      </c>
    </row>
    <row r="599" spans="1:7">
      <c r="A599">
        <v>10406898</v>
      </c>
      <c r="B599">
        <v>1.89892181195305</v>
      </c>
      <c r="C599">
        <v>0.28774629240629401</v>
      </c>
      <c r="D599" t="s">
        <v>302</v>
      </c>
      <c r="E599" t="s">
        <v>303</v>
      </c>
      <c r="F599" t="s">
        <v>304</v>
      </c>
      <c r="G599" t="s">
        <v>2010</v>
      </c>
    </row>
    <row r="600" spans="1:7">
      <c r="A600">
        <v>10457250</v>
      </c>
      <c r="B600">
        <v>1.89828599810136</v>
      </c>
      <c r="C600">
        <v>0.117984572372522</v>
      </c>
      <c r="D600" t="s">
        <v>139</v>
      </c>
      <c r="E600" t="s">
        <v>140</v>
      </c>
      <c r="F600" t="s">
        <v>141</v>
      </c>
      <c r="G600" t="s">
        <v>2010</v>
      </c>
    </row>
    <row r="601" spans="1:7">
      <c r="A601">
        <v>10493670</v>
      </c>
      <c r="B601">
        <v>1.8978466777421901</v>
      </c>
      <c r="C601">
        <v>0.18479655043681101</v>
      </c>
      <c r="D601" t="s">
        <v>937</v>
      </c>
      <c r="E601" t="s">
        <v>938</v>
      </c>
      <c r="F601" t="s">
        <v>939</v>
      </c>
      <c r="G601" t="s">
        <v>2010</v>
      </c>
    </row>
    <row r="602" spans="1:7">
      <c r="A602">
        <v>10466000</v>
      </c>
      <c r="B602">
        <v>1.89626823126739</v>
      </c>
      <c r="C602">
        <v>0.55336222801848001</v>
      </c>
      <c r="D602" t="s">
        <v>142</v>
      </c>
      <c r="E602" t="s">
        <v>143</v>
      </c>
      <c r="F602" t="s">
        <v>144</v>
      </c>
      <c r="G602" t="s">
        <v>2010</v>
      </c>
    </row>
    <row r="603" spans="1:7">
      <c r="A603">
        <v>10458757</v>
      </c>
      <c r="B603">
        <v>1.88641098064635</v>
      </c>
      <c r="C603">
        <v>0.25091574098344599</v>
      </c>
      <c r="D603" t="s">
        <v>145</v>
      </c>
      <c r="E603" t="s">
        <v>146</v>
      </c>
      <c r="F603" t="s">
        <v>147</v>
      </c>
      <c r="G603" t="s">
        <v>2010</v>
      </c>
    </row>
    <row r="604" spans="1:7">
      <c r="A604">
        <v>10516551</v>
      </c>
      <c r="B604">
        <v>1.8856094567834101</v>
      </c>
      <c r="C604">
        <v>0.31509382626068899</v>
      </c>
      <c r="D604" t="s">
        <v>148</v>
      </c>
      <c r="E604" t="s">
        <v>149</v>
      </c>
      <c r="F604" t="s">
        <v>150</v>
      </c>
      <c r="G604" t="s">
        <v>2010</v>
      </c>
    </row>
    <row r="605" spans="1:7">
      <c r="A605">
        <v>10384782</v>
      </c>
      <c r="B605">
        <v>1.8855185506549099</v>
      </c>
      <c r="C605">
        <v>0.123499929073988</v>
      </c>
      <c r="D605" t="s">
        <v>151</v>
      </c>
      <c r="E605" t="s">
        <v>152</v>
      </c>
      <c r="F605" t="s">
        <v>153</v>
      </c>
      <c r="G605" t="s">
        <v>2010</v>
      </c>
    </row>
    <row r="606" spans="1:7">
      <c r="A606">
        <v>10406865</v>
      </c>
      <c r="B606">
        <v>1.88511044544421</v>
      </c>
      <c r="C606">
        <v>0.15115496895123301</v>
      </c>
      <c r="D606" t="s">
        <v>154</v>
      </c>
      <c r="E606" t="s">
        <v>155</v>
      </c>
      <c r="F606" t="s">
        <v>156</v>
      </c>
      <c r="G606" t="s">
        <v>2010</v>
      </c>
    </row>
    <row r="607" spans="1:7">
      <c r="A607">
        <v>10539882</v>
      </c>
      <c r="B607">
        <v>1.8811319561656299</v>
      </c>
      <c r="C607">
        <v>0.226740547742322</v>
      </c>
      <c r="D607" t="s">
        <v>157</v>
      </c>
      <c r="E607" t="s">
        <v>158</v>
      </c>
      <c r="F607" t="s">
        <v>323</v>
      </c>
      <c r="G607" t="s">
        <v>2010</v>
      </c>
    </row>
    <row r="608" spans="1:7">
      <c r="A608">
        <v>10392990</v>
      </c>
      <c r="B608">
        <v>1.8777570625973801</v>
      </c>
      <c r="C608">
        <v>0.39855475940437801</v>
      </c>
      <c r="D608" t="s">
        <v>324</v>
      </c>
      <c r="E608" t="s">
        <v>325</v>
      </c>
      <c r="F608" t="s">
        <v>326</v>
      </c>
      <c r="G608" t="s">
        <v>2010</v>
      </c>
    </row>
    <row r="609" spans="1:7">
      <c r="A609">
        <v>10409992</v>
      </c>
      <c r="B609">
        <v>1.8762348114733201</v>
      </c>
      <c r="C609">
        <v>0.22480502459042301</v>
      </c>
      <c r="D609" s="10" t="s">
        <v>2038</v>
      </c>
      <c r="E609" s="10"/>
    </row>
    <row r="610" spans="1:7">
      <c r="A610">
        <v>10489463</v>
      </c>
      <c r="B610">
        <v>1.87449889763063</v>
      </c>
      <c r="C610">
        <v>8.9697235829983804E-2</v>
      </c>
      <c r="D610" t="s">
        <v>327</v>
      </c>
      <c r="E610" t="s">
        <v>328</v>
      </c>
      <c r="F610" t="s">
        <v>329</v>
      </c>
      <c r="G610" t="s">
        <v>2010</v>
      </c>
    </row>
    <row r="611" spans="1:7">
      <c r="A611">
        <v>10564736</v>
      </c>
      <c r="B611">
        <v>1.8723974182755301</v>
      </c>
      <c r="C611">
        <v>0.38914372523077001</v>
      </c>
      <c r="D611" t="s">
        <v>330</v>
      </c>
      <c r="E611" t="s">
        <v>331</v>
      </c>
      <c r="F611" t="s">
        <v>332</v>
      </c>
      <c r="G611" t="s">
        <v>2010</v>
      </c>
    </row>
    <row r="612" spans="1:7">
      <c r="A612">
        <v>10494924</v>
      </c>
      <c r="B612">
        <v>1.8701502471011699</v>
      </c>
      <c r="C612">
        <v>0.266130876025854</v>
      </c>
      <c r="D612" t="s">
        <v>333</v>
      </c>
      <c r="E612" t="s">
        <v>334</v>
      </c>
      <c r="F612" t="s">
        <v>335</v>
      </c>
      <c r="G612" t="s">
        <v>2010</v>
      </c>
    </row>
    <row r="613" spans="1:7">
      <c r="A613">
        <v>10493640</v>
      </c>
      <c r="B613">
        <v>1.86621536325808</v>
      </c>
      <c r="C613">
        <v>0.33228281636763501</v>
      </c>
      <c r="D613" t="s">
        <v>937</v>
      </c>
      <c r="E613" t="s">
        <v>938</v>
      </c>
      <c r="F613" t="s">
        <v>939</v>
      </c>
      <c r="G613" t="s">
        <v>2010</v>
      </c>
    </row>
    <row r="614" spans="1:7">
      <c r="A614">
        <v>10539894</v>
      </c>
      <c r="B614">
        <v>1.8638286511781399</v>
      </c>
      <c r="C614">
        <v>0.15604011223962599</v>
      </c>
      <c r="D614" t="s">
        <v>336</v>
      </c>
      <c r="E614" t="s">
        <v>337</v>
      </c>
      <c r="F614" t="s">
        <v>338</v>
      </c>
      <c r="G614" t="s">
        <v>2010</v>
      </c>
    </row>
    <row r="615" spans="1:7">
      <c r="A615">
        <v>10431410</v>
      </c>
      <c r="B615">
        <v>1.8627893026482201</v>
      </c>
      <c r="C615">
        <v>0.29509395264653399</v>
      </c>
      <c r="D615" t="s">
        <v>339</v>
      </c>
      <c r="E615" t="s">
        <v>340</v>
      </c>
      <c r="F615" t="s">
        <v>175</v>
      </c>
      <c r="G615" t="s">
        <v>2010</v>
      </c>
    </row>
    <row r="616" spans="1:7">
      <c r="A616">
        <v>10468231</v>
      </c>
      <c r="B616">
        <v>1.8622752656083601</v>
      </c>
      <c r="C616">
        <v>0.33259898514556802</v>
      </c>
      <c r="D616" t="s">
        <v>176</v>
      </c>
      <c r="E616" t="s">
        <v>177</v>
      </c>
      <c r="F616" t="s">
        <v>178</v>
      </c>
      <c r="G616" t="s">
        <v>2010</v>
      </c>
    </row>
    <row r="617" spans="1:7">
      <c r="A617">
        <v>10535247</v>
      </c>
      <c r="B617">
        <v>1.8615326066378901</v>
      </c>
      <c r="C617">
        <v>0.26743666409863598</v>
      </c>
      <c r="D617" t="s">
        <v>179</v>
      </c>
      <c r="E617" t="s">
        <v>180</v>
      </c>
      <c r="F617" t="s">
        <v>181</v>
      </c>
      <c r="G617" t="s">
        <v>2010</v>
      </c>
    </row>
    <row r="618" spans="1:7">
      <c r="A618">
        <v>10408329</v>
      </c>
      <c r="B618">
        <v>1.8574032385875201</v>
      </c>
      <c r="C618">
        <v>0.32344912465780101</v>
      </c>
      <c r="D618" s="10" t="s">
        <v>2038</v>
      </c>
      <c r="E618" s="10"/>
    </row>
    <row r="619" spans="1:7">
      <c r="A619">
        <v>10600326</v>
      </c>
      <c r="B619">
        <v>1.8543682941123401</v>
      </c>
      <c r="C619">
        <v>4.7554318640027599E-2</v>
      </c>
      <c r="D619" t="s">
        <v>182</v>
      </c>
      <c r="E619" t="s">
        <v>183</v>
      </c>
      <c r="F619" t="s">
        <v>184</v>
      </c>
      <c r="G619" t="s">
        <v>2010</v>
      </c>
    </row>
    <row r="620" spans="1:7">
      <c r="A620">
        <v>10601903</v>
      </c>
      <c r="B620">
        <v>1.8518414984009901</v>
      </c>
      <c r="C620">
        <v>0.14963673742099601</v>
      </c>
      <c r="D620" t="s">
        <v>185</v>
      </c>
      <c r="E620" t="s">
        <v>186</v>
      </c>
      <c r="F620" t="s">
        <v>187</v>
      </c>
      <c r="G620" t="s">
        <v>2010</v>
      </c>
    </row>
    <row r="621" spans="1:7">
      <c r="A621">
        <v>10426439</v>
      </c>
      <c r="B621">
        <v>1.8513579902898101</v>
      </c>
      <c r="C621">
        <v>6.2456506703328703E-2</v>
      </c>
      <c r="D621" t="s">
        <v>188</v>
      </c>
      <c r="E621" t="s">
        <v>189</v>
      </c>
      <c r="F621" t="s">
        <v>190</v>
      </c>
      <c r="G621" t="s">
        <v>2010</v>
      </c>
    </row>
    <row r="622" spans="1:7">
      <c r="A622">
        <v>10586920</v>
      </c>
      <c r="B622">
        <v>1.8466358537699801</v>
      </c>
      <c r="C622">
        <v>0.18682007786334801</v>
      </c>
      <c r="D622" t="s">
        <v>191</v>
      </c>
      <c r="E622" t="s">
        <v>192</v>
      </c>
      <c r="F622" t="s">
        <v>356</v>
      </c>
      <c r="G622" t="s">
        <v>2010</v>
      </c>
    </row>
    <row r="623" spans="1:7">
      <c r="A623">
        <v>10549544</v>
      </c>
      <c r="B623">
        <v>1.8465498435260901</v>
      </c>
      <c r="C623">
        <v>0.40837682112812301</v>
      </c>
      <c r="D623" t="s">
        <v>357</v>
      </c>
      <c r="E623" t="s">
        <v>358</v>
      </c>
      <c r="F623" t="s">
        <v>359</v>
      </c>
      <c r="G623" t="s">
        <v>2010</v>
      </c>
    </row>
    <row r="624" spans="1:7">
      <c r="A624">
        <v>10362630</v>
      </c>
      <c r="B624">
        <v>1.8455040340190401</v>
      </c>
      <c r="C624">
        <v>0.26065031929847898</v>
      </c>
      <c r="D624" s="10" t="s">
        <v>2038</v>
      </c>
      <c r="E624" s="10"/>
    </row>
    <row r="625" spans="1:7">
      <c r="A625">
        <v>10525877</v>
      </c>
      <c r="B625">
        <v>1.84274596470333</v>
      </c>
      <c r="C625">
        <v>8.1381383023529E-2</v>
      </c>
      <c r="D625" t="s">
        <v>360</v>
      </c>
      <c r="E625" t="s">
        <v>361</v>
      </c>
      <c r="F625" t="s">
        <v>362</v>
      </c>
      <c r="G625" t="s">
        <v>2010</v>
      </c>
    </row>
    <row r="626" spans="1:7">
      <c r="A626">
        <v>10362633</v>
      </c>
      <c r="B626">
        <v>1.84026059730745</v>
      </c>
      <c r="C626">
        <v>0.19993775046823201</v>
      </c>
      <c r="D626" t="s">
        <v>363</v>
      </c>
      <c r="E626" t="s">
        <v>364</v>
      </c>
      <c r="F626" t="s">
        <v>201</v>
      </c>
      <c r="G626" t="s">
        <v>2010</v>
      </c>
    </row>
    <row r="627" spans="1:7">
      <c r="A627">
        <v>10503281</v>
      </c>
      <c r="B627">
        <v>1.8337682870016501</v>
      </c>
      <c r="C627">
        <v>0.25380022195226298</v>
      </c>
      <c r="D627" t="s">
        <v>202</v>
      </c>
      <c r="E627" t="s">
        <v>203</v>
      </c>
      <c r="F627" t="s">
        <v>204</v>
      </c>
      <c r="G627" t="s">
        <v>2015</v>
      </c>
    </row>
    <row r="628" spans="1:7">
      <c r="A628">
        <v>10344049</v>
      </c>
      <c r="B628">
        <v>1.8287438432596901</v>
      </c>
      <c r="C628">
        <v>0.101398833286987</v>
      </c>
      <c r="D628" s="10" t="s">
        <v>2038</v>
      </c>
      <c r="E628" s="10"/>
    </row>
    <row r="629" spans="1:7">
      <c r="A629">
        <v>10606876</v>
      </c>
      <c r="B629">
        <v>1.8176565327748599</v>
      </c>
      <c r="C629">
        <v>0.14466116911868501</v>
      </c>
      <c r="D629" t="s">
        <v>205</v>
      </c>
      <c r="E629" t="s">
        <v>206</v>
      </c>
      <c r="F629" t="s">
        <v>207</v>
      </c>
      <c r="G629" t="s">
        <v>2010</v>
      </c>
    </row>
    <row r="630" spans="1:7">
      <c r="A630">
        <v>10444665</v>
      </c>
      <c r="B630">
        <v>1.8148992027544</v>
      </c>
      <c r="C630">
        <v>0.30039586893172898</v>
      </c>
      <c r="D630" t="s">
        <v>208</v>
      </c>
      <c r="E630" t="s">
        <v>209</v>
      </c>
      <c r="F630" t="s">
        <v>210</v>
      </c>
      <c r="G630" t="s">
        <v>2010</v>
      </c>
    </row>
    <row r="631" spans="1:7">
      <c r="A631">
        <v>10487564</v>
      </c>
      <c r="B631">
        <v>1.8110138994543401</v>
      </c>
      <c r="C631">
        <v>0.18756631967444401</v>
      </c>
      <c r="D631" t="s">
        <v>211</v>
      </c>
      <c r="E631" t="s">
        <v>212</v>
      </c>
      <c r="F631" t="s">
        <v>213</v>
      </c>
      <c r="G631" t="s">
        <v>2010</v>
      </c>
    </row>
    <row r="632" spans="1:7">
      <c r="A632">
        <v>10592763</v>
      </c>
      <c r="B632">
        <v>1.8109348060449799</v>
      </c>
      <c r="C632">
        <v>8.8282211972791194E-2</v>
      </c>
      <c r="D632" t="s">
        <v>376</v>
      </c>
      <c r="E632" t="s">
        <v>377</v>
      </c>
      <c r="F632" t="s">
        <v>378</v>
      </c>
      <c r="G632" t="s">
        <v>2010</v>
      </c>
    </row>
    <row r="633" spans="1:7">
      <c r="A633">
        <v>10453575</v>
      </c>
      <c r="B633">
        <v>1.80980472568085</v>
      </c>
      <c r="C633">
        <v>0.36999531275817099</v>
      </c>
      <c r="D633" t="s">
        <v>379</v>
      </c>
      <c r="E633" t="s">
        <v>380</v>
      </c>
      <c r="F633" t="s">
        <v>381</v>
      </c>
      <c r="G633" t="s">
        <v>2010</v>
      </c>
    </row>
    <row r="634" spans="1:7">
      <c r="A634">
        <v>10347036</v>
      </c>
      <c r="B634">
        <v>1.80652782728252</v>
      </c>
      <c r="C634">
        <v>0.19933351124057</v>
      </c>
      <c r="D634" t="s">
        <v>382</v>
      </c>
      <c r="E634" t="s">
        <v>216</v>
      </c>
      <c r="F634" t="s">
        <v>217</v>
      </c>
      <c r="G634" t="s">
        <v>2010</v>
      </c>
    </row>
    <row r="635" spans="1:7">
      <c r="A635">
        <v>10543695</v>
      </c>
      <c r="B635">
        <v>1.80600127777009</v>
      </c>
      <c r="C635">
        <v>0.31680694627503703</v>
      </c>
      <c r="D635" s="10" t="s">
        <v>2038</v>
      </c>
      <c r="E635" s="10"/>
    </row>
    <row r="636" spans="1:7">
      <c r="A636">
        <v>10509820</v>
      </c>
      <c r="B636">
        <v>1.8012383916597701</v>
      </c>
      <c r="C636">
        <v>0.31298536768831497</v>
      </c>
      <c r="D636" t="s">
        <v>218</v>
      </c>
      <c r="E636" t="s">
        <v>219</v>
      </c>
      <c r="F636" t="s">
        <v>220</v>
      </c>
      <c r="G636" t="s">
        <v>2010</v>
      </c>
    </row>
    <row r="637" spans="1:7">
      <c r="A637">
        <v>10445373</v>
      </c>
      <c r="B637">
        <v>1.79552614281142</v>
      </c>
      <c r="C637">
        <v>0.14410972862956001</v>
      </c>
      <c r="D637" t="s">
        <v>221</v>
      </c>
      <c r="E637" t="s">
        <v>222</v>
      </c>
      <c r="F637" t="s">
        <v>223</v>
      </c>
      <c r="G637" t="s">
        <v>2010</v>
      </c>
    </row>
    <row r="638" spans="1:7">
      <c r="A638">
        <v>10438702</v>
      </c>
      <c r="B638">
        <v>1.79416381532291</v>
      </c>
      <c r="C638">
        <v>0.24389678406825499</v>
      </c>
      <c r="D638" t="s">
        <v>224</v>
      </c>
      <c r="E638" t="s">
        <v>225</v>
      </c>
      <c r="F638" t="s">
        <v>74</v>
      </c>
      <c r="G638" t="s">
        <v>2010</v>
      </c>
    </row>
    <row r="639" spans="1:7">
      <c r="A639">
        <v>10458428</v>
      </c>
      <c r="B639">
        <v>1.79225188973552</v>
      </c>
      <c r="C639">
        <v>0.14571848286584599</v>
      </c>
      <c r="D639" t="s">
        <v>75</v>
      </c>
      <c r="E639" t="s">
        <v>76</v>
      </c>
      <c r="F639" t="s">
        <v>77</v>
      </c>
      <c r="G639" t="s">
        <v>2010</v>
      </c>
    </row>
    <row r="640" spans="1:7">
      <c r="A640">
        <v>10498800</v>
      </c>
      <c r="B640">
        <v>1.7904045260938699</v>
      </c>
      <c r="C640">
        <v>0.160885458965012</v>
      </c>
      <c r="D640" t="s">
        <v>78</v>
      </c>
      <c r="E640" t="s">
        <v>79</v>
      </c>
      <c r="F640" t="s">
        <v>80</v>
      </c>
      <c r="G640" t="s">
        <v>2010</v>
      </c>
    </row>
    <row r="641" spans="1:7">
      <c r="A641">
        <v>10357590</v>
      </c>
      <c r="B641">
        <v>1.7900451299736799</v>
      </c>
      <c r="C641">
        <v>0.178655708848344</v>
      </c>
      <c r="D641" t="s">
        <v>81</v>
      </c>
      <c r="E641" t="s">
        <v>82</v>
      </c>
      <c r="F641" t="s">
        <v>83</v>
      </c>
      <c r="G641" t="s">
        <v>2010</v>
      </c>
    </row>
    <row r="642" spans="1:7">
      <c r="A642">
        <v>10493548</v>
      </c>
      <c r="B642">
        <v>1.7879344822394101</v>
      </c>
      <c r="C642">
        <v>0.188308072521089</v>
      </c>
      <c r="D642" t="s">
        <v>84</v>
      </c>
      <c r="E642" t="s">
        <v>85</v>
      </c>
      <c r="F642" t="s">
        <v>86</v>
      </c>
      <c r="G642" t="s">
        <v>2010</v>
      </c>
    </row>
    <row r="643" spans="1:7">
      <c r="A643">
        <v>10444394</v>
      </c>
      <c r="B643">
        <v>1.78561365495706</v>
      </c>
      <c r="C643">
        <v>0.225919420651922</v>
      </c>
      <c r="D643" t="s">
        <v>87</v>
      </c>
      <c r="E643" t="s">
        <v>88</v>
      </c>
      <c r="F643" t="s">
        <v>89</v>
      </c>
      <c r="G643" t="s">
        <v>2010</v>
      </c>
    </row>
    <row r="644" spans="1:7">
      <c r="A644">
        <v>10376787</v>
      </c>
      <c r="B644">
        <v>1.7854656906003299</v>
      </c>
      <c r="C644">
        <v>5.5697772104029299E-2</v>
      </c>
      <c r="D644" t="s">
        <v>90</v>
      </c>
      <c r="E644" t="s">
        <v>91</v>
      </c>
      <c r="F644" t="s">
        <v>240</v>
      </c>
      <c r="G644" t="s">
        <v>2010</v>
      </c>
    </row>
    <row r="645" spans="1:7">
      <c r="A645">
        <v>10353438</v>
      </c>
      <c r="B645">
        <v>1.7838530300725799</v>
      </c>
      <c r="C645">
        <v>0.20661712622752701</v>
      </c>
      <c r="D645" t="s">
        <v>241</v>
      </c>
      <c r="E645" t="s">
        <v>242</v>
      </c>
      <c r="F645" t="s">
        <v>243</v>
      </c>
      <c r="G645" t="s">
        <v>2010</v>
      </c>
    </row>
    <row r="646" spans="1:7">
      <c r="A646">
        <v>10449687</v>
      </c>
      <c r="B646">
        <v>1.7797859389391399</v>
      </c>
      <c r="C646">
        <v>0.13583535016866299</v>
      </c>
      <c r="D646" t="s">
        <v>244</v>
      </c>
      <c r="E646" t="s">
        <v>245</v>
      </c>
      <c r="F646" t="s">
        <v>246</v>
      </c>
      <c r="G646" t="s">
        <v>2010</v>
      </c>
    </row>
    <row r="647" spans="1:7">
      <c r="A647">
        <v>10550564</v>
      </c>
      <c r="B647">
        <v>1.77910794514063</v>
      </c>
      <c r="C647">
        <v>0.247193080773769</v>
      </c>
      <c r="D647" t="s">
        <v>247</v>
      </c>
      <c r="E647" t="s">
        <v>248</v>
      </c>
      <c r="F647" t="s">
        <v>249</v>
      </c>
      <c r="G647" t="s">
        <v>2010</v>
      </c>
    </row>
    <row r="648" spans="1:7">
      <c r="A648">
        <v>10429178</v>
      </c>
      <c r="B648">
        <v>1.7745126478782001</v>
      </c>
      <c r="C648">
        <v>5.5087284087617802E-2</v>
      </c>
      <c r="D648" t="s">
        <v>250</v>
      </c>
      <c r="E648" t="s">
        <v>251</v>
      </c>
      <c r="F648" t="s">
        <v>252</v>
      </c>
      <c r="G648" t="s">
        <v>2010</v>
      </c>
    </row>
    <row r="649" spans="1:7">
      <c r="A649">
        <v>10409645</v>
      </c>
      <c r="B649">
        <v>1.77198861666289</v>
      </c>
      <c r="C649">
        <v>0.218967985203253</v>
      </c>
      <c r="D649" t="s">
        <v>253</v>
      </c>
      <c r="E649" t="s">
        <v>254</v>
      </c>
      <c r="F649" t="s">
        <v>255</v>
      </c>
      <c r="G649" t="s">
        <v>2010</v>
      </c>
    </row>
    <row r="650" spans="1:7">
      <c r="A650">
        <v>10418355</v>
      </c>
      <c r="B650">
        <v>1.7653572623057201</v>
      </c>
      <c r="C650">
        <v>6.9286185907569894E-2</v>
      </c>
      <c r="D650" t="s">
        <v>99</v>
      </c>
      <c r="E650" t="s">
        <v>100</v>
      </c>
      <c r="F650" t="s">
        <v>101</v>
      </c>
      <c r="G650" t="s">
        <v>2010</v>
      </c>
    </row>
    <row r="651" spans="1:7">
      <c r="A651">
        <v>10524229</v>
      </c>
      <c r="B651">
        <v>1.76452882698906</v>
      </c>
      <c r="C651">
        <v>0.14410029011436801</v>
      </c>
      <c r="D651" s="10" t="s">
        <v>2038</v>
      </c>
      <c r="E651" s="10"/>
    </row>
    <row r="652" spans="1:7">
      <c r="A652">
        <v>10445941</v>
      </c>
      <c r="B652">
        <v>1.7556956640871799</v>
      </c>
      <c r="C652">
        <v>0.25408913529037802</v>
      </c>
      <c r="D652" t="s">
        <v>102</v>
      </c>
      <c r="E652" t="s">
        <v>103</v>
      </c>
      <c r="F652" t="s">
        <v>104</v>
      </c>
      <c r="G652" t="s">
        <v>2015</v>
      </c>
    </row>
    <row r="653" spans="1:7">
      <c r="A653">
        <v>10513884</v>
      </c>
      <c r="B653">
        <v>1.7544082933957299</v>
      </c>
      <c r="C653">
        <v>0.13495605284447401</v>
      </c>
      <c r="D653" t="s">
        <v>105</v>
      </c>
      <c r="E653" t="s">
        <v>106</v>
      </c>
      <c r="F653" t="s">
        <v>107</v>
      </c>
      <c r="G653" t="s">
        <v>2010</v>
      </c>
    </row>
    <row r="654" spans="1:7">
      <c r="A654">
        <v>10603598</v>
      </c>
      <c r="B654">
        <v>1.75120122707296</v>
      </c>
      <c r="C654">
        <v>0.24040310287698799</v>
      </c>
      <c r="D654" t="s">
        <v>108</v>
      </c>
      <c r="E654" t="s">
        <v>109</v>
      </c>
      <c r="F654" t="s">
        <v>110</v>
      </c>
      <c r="G654" t="s">
        <v>2010</v>
      </c>
    </row>
    <row r="655" spans="1:7">
      <c r="A655">
        <v>10547492</v>
      </c>
      <c r="B655">
        <v>1.75108413056552</v>
      </c>
      <c r="C655">
        <v>0.16910341158424</v>
      </c>
      <c r="D655" t="s">
        <v>111</v>
      </c>
      <c r="E655" t="s">
        <v>112</v>
      </c>
      <c r="F655" t="s">
        <v>273</v>
      </c>
      <c r="G655" t="s">
        <v>2010</v>
      </c>
    </row>
    <row r="656" spans="1:7">
      <c r="A656">
        <v>10343284</v>
      </c>
      <c r="B656">
        <v>1.7477203127648899</v>
      </c>
      <c r="C656">
        <v>0.19789290304028001</v>
      </c>
      <c r="D656" s="10" t="s">
        <v>2038</v>
      </c>
      <c r="E656" s="10"/>
    </row>
    <row r="657" spans="1:7">
      <c r="A657">
        <v>10584819</v>
      </c>
      <c r="B657">
        <v>1.74687938045369</v>
      </c>
      <c r="C657">
        <v>0.14455766868782899</v>
      </c>
      <c r="D657" s="10" t="s">
        <v>2038</v>
      </c>
      <c r="E657" s="10"/>
    </row>
    <row r="658" spans="1:7">
      <c r="A658">
        <v>10427910</v>
      </c>
      <c r="B658">
        <v>1.74655259293535</v>
      </c>
      <c r="C658">
        <v>9.9452421974472696E-2</v>
      </c>
      <c r="D658" t="s">
        <v>274</v>
      </c>
      <c r="E658" t="s">
        <v>275</v>
      </c>
      <c r="F658" t="s">
        <v>276</v>
      </c>
      <c r="G658" t="s">
        <v>2010</v>
      </c>
    </row>
    <row r="659" spans="1:7">
      <c r="A659">
        <v>10364683</v>
      </c>
      <c r="B659">
        <v>1.7454799299852599</v>
      </c>
      <c r="C659">
        <v>0.13885216177677101</v>
      </c>
      <c r="D659" t="s">
        <v>277</v>
      </c>
      <c r="E659" t="s">
        <v>278</v>
      </c>
      <c r="F659" t="s">
        <v>279</v>
      </c>
      <c r="G659" t="s">
        <v>2010</v>
      </c>
    </row>
    <row r="660" spans="1:7">
      <c r="A660">
        <v>10569399</v>
      </c>
      <c r="B660">
        <v>1.7449361145643401</v>
      </c>
      <c r="C660">
        <v>0.11791498464269901</v>
      </c>
      <c r="D660" t="s">
        <v>280</v>
      </c>
      <c r="E660" t="s">
        <v>117</v>
      </c>
      <c r="F660" t="s">
        <v>118</v>
      </c>
      <c r="G660" t="s">
        <v>2010</v>
      </c>
    </row>
    <row r="661" spans="1:7">
      <c r="A661">
        <v>10522024</v>
      </c>
      <c r="B661">
        <v>1.74425894874523</v>
      </c>
      <c r="C661">
        <v>0.10852449443720499</v>
      </c>
      <c r="D661" t="s">
        <v>119</v>
      </c>
      <c r="E661" t="s">
        <v>120</v>
      </c>
      <c r="F661" t="s">
        <v>1866</v>
      </c>
      <c r="G661" t="s">
        <v>2010</v>
      </c>
    </row>
    <row r="662" spans="1:7">
      <c r="A662">
        <v>10558825</v>
      </c>
      <c r="B662">
        <v>1.7440811625278101</v>
      </c>
      <c r="C662">
        <v>0.165852790196962</v>
      </c>
      <c r="D662" t="s">
        <v>121</v>
      </c>
      <c r="E662" t="s">
        <v>122</v>
      </c>
      <c r="F662" t="s">
        <v>123</v>
      </c>
      <c r="G662" t="s">
        <v>2010</v>
      </c>
    </row>
    <row r="663" spans="1:7">
      <c r="A663">
        <v>10401882</v>
      </c>
      <c r="B663">
        <v>1.7430838527636601</v>
      </c>
      <c r="C663">
        <v>0.28543903119678998</v>
      </c>
      <c r="D663" t="s">
        <v>124</v>
      </c>
      <c r="E663" t="s">
        <v>125</v>
      </c>
      <c r="F663" t="s">
        <v>126</v>
      </c>
      <c r="G663" t="s">
        <v>2010</v>
      </c>
    </row>
    <row r="664" spans="1:7">
      <c r="A664">
        <v>10593095</v>
      </c>
      <c r="B664">
        <v>1.74096447038307</v>
      </c>
      <c r="C664">
        <v>9.1071887029732596E-2</v>
      </c>
      <c r="D664" t="s">
        <v>856</v>
      </c>
      <c r="E664" t="s">
        <v>857</v>
      </c>
      <c r="F664" t="s">
        <v>858</v>
      </c>
      <c r="G664" t="s">
        <v>2010</v>
      </c>
    </row>
    <row r="665" spans="1:7">
      <c r="A665">
        <v>10518344</v>
      </c>
      <c r="B665">
        <v>1.7399763248692299</v>
      </c>
      <c r="C665">
        <v>0.35498184201687499</v>
      </c>
      <c r="D665" t="s">
        <v>366</v>
      </c>
      <c r="E665" t="s">
        <v>367</v>
      </c>
      <c r="F665" t="s">
        <v>368</v>
      </c>
      <c r="G665" t="s">
        <v>2010</v>
      </c>
    </row>
    <row r="666" spans="1:7">
      <c r="A666">
        <v>10383395</v>
      </c>
      <c r="B666">
        <v>1.73829759253657</v>
      </c>
      <c r="C666">
        <v>0.21950359468952299</v>
      </c>
      <c r="D666" t="s">
        <v>127</v>
      </c>
      <c r="E666" t="s">
        <v>128</v>
      </c>
      <c r="F666" t="s">
        <v>297</v>
      </c>
      <c r="G666" t="s">
        <v>2010</v>
      </c>
    </row>
    <row r="667" spans="1:7">
      <c r="A667">
        <v>10437292</v>
      </c>
      <c r="B667">
        <v>1.7262922704689401</v>
      </c>
      <c r="C667">
        <v>4.21081003297855E-2</v>
      </c>
      <c r="D667" t="s">
        <v>298</v>
      </c>
      <c r="E667" t="s">
        <v>130</v>
      </c>
      <c r="F667" t="s">
        <v>131</v>
      </c>
      <c r="G667" t="s">
        <v>2010</v>
      </c>
    </row>
    <row r="668" spans="1:7">
      <c r="A668">
        <v>10454842</v>
      </c>
      <c r="B668">
        <v>1.72553640023384</v>
      </c>
      <c r="C668">
        <v>0.12097758904407301</v>
      </c>
      <c r="D668" t="s">
        <v>78</v>
      </c>
      <c r="E668" t="s">
        <v>79</v>
      </c>
      <c r="F668" t="s">
        <v>80</v>
      </c>
      <c r="G668" t="s">
        <v>2010</v>
      </c>
    </row>
    <row r="669" spans="1:7">
      <c r="A669">
        <v>10474419</v>
      </c>
      <c r="B669">
        <v>1.7253336383437401</v>
      </c>
      <c r="C669">
        <v>7.0808042157749801E-2</v>
      </c>
      <c r="D669" t="s">
        <v>132</v>
      </c>
      <c r="E669" t="s">
        <v>133</v>
      </c>
      <c r="F669" t="s">
        <v>134</v>
      </c>
      <c r="G669" t="s">
        <v>2010</v>
      </c>
    </row>
    <row r="670" spans="1:7">
      <c r="A670">
        <v>10602166</v>
      </c>
      <c r="B670">
        <v>1.71240339159091</v>
      </c>
      <c r="C670">
        <v>8.1081287130278207E-2</v>
      </c>
      <c r="D670" t="s">
        <v>135</v>
      </c>
      <c r="E670" t="s">
        <v>136</v>
      </c>
      <c r="F670" t="s">
        <v>137</v>
      </c>
      <c r="G670" t="s">
        <v>2010</v>
      </c>
    </row>
    <row r="671" spans="1:7">
      <c r="A671">
        <v>10403934</v>
      </c>
      <c r="B671">
        <v>1.70980151796683</v>
      </c>
      <c r="C671">
        <v>0.17578514421046301</v>
      </c>
      <c r="D671" t="s">
        <v>138</v>
      </c>
      <c r="E671" t="s">
        <v>8</v>
      </c>
      <c r="F671" t="s">
        <v>9</v>
      </c>
      <c r="G671" t="s">
        <v>2010</v>
      </c>
    </row>
    <row r="672" spans="1:7">
      <c r="A672">
        <v>10528154</v>
      </c>
      <c r="B672">
        <v>1.70127662556588</v>
      </c>
      <c r="C672">
        <v>0.198093280231078</v>
      </c>
      <c r="D672" t="s">
        <v>10</v>
      </c>
      <c r="E672" t="s">
        <v>11</v>
      </c>
      <c r="F672" t="s">
        <v>12</v>
      </c>
      <c r="G672" t="s">
        <v>2015</v>
      </c>
    </row>
    <row r="673" spans="1:7">
      <c r="A673">
        <v>10508454</v>
      </c>
      <c r="B673">
        <v>1.6986364860831</v>
      </c>
      <c r="C673">
        <v>0.1540039152621</v>
      </c>
      <c r="D673" t="s">
        <v>13</v>
      </c>
      <c r="E673" t="s">
        <v>14</v>
      </c>
      <c r="F673" t="s">
        <v>15</v>
      </c>
      <c r="G673" t="s">
        <v>2010</v>
      </c>
    </row>
    <row r="674" spans="1:7">
      <c r="A674">
        <v>10439798</v>
      </c>
      <c r="B674">
        <v>1.69858712968686</v>
      </c>
      <c r="C674">
        <v>0.117234037315465</v>
      </c>
      <c r="D674" t="s">
        <v>16</v>
      </c>
      <c r="E674" t="s">
        <v>17</v>
      </c>
      <c r="F674" t="s">
        <v>18</v>
      </c>
      <c r="G674" t="s">
        <v>2010</v>
      </c>
    </row>
    <row r="675" spans="1:7">
      <c r="A675">
        <v>10523001</v>
      </c>
      <c r="B675">
        <v>1.6955871156092801</v>
      </c>
      <c r="C675">
        <v>0.13761521756933501</v>
      </c>
      <c r="D675" t="s">
        <v>19</v>
      </c>
      <c r="E675" t="s">
        <v>20</v>
      </c>
      <c r="F675" t="s">
        <v>21</v>
      </c>
      <c r="G675" t="s">
        <v>2010</v>
      </c>
    </row>
    <row r="676" spans="1:7">
      <c r="A676">
        <v>10409994</v>
      </c>
      <c r="B676">
        <v>1.6922152083736099</v>
      </c>
      <c r="C676">
        <v>3.4623510575406399E-2</v>
      </c>
      <c r="D676" t="s">
        <v>22</v>
      </c>
      <c r="E676" t="s">
        <v>23</v>
      </c>
      <c r="F676" t="s">
        <v>24</v>
      </c>
      <c r="G676" t="s">
        <v>2060</v>
      </c>
    </row>
    <row r="677" spans="1:7">
      <c r="A677">
        <v>10589800</v>
      </c>
      <c r="B677">
        <v>1.69038807810082</v>
      </c>
      <c r="C677">
        <v>0.24177453611267</v>
      </c>
      <c r="D677" t="s">
        <v>25</v>
      </c>
      <c r="E677" t="s">
        <v>159</v>
      </c>
      <c r="F677" t="s">
        <v>160</v>
      </c>
      <c r="G677" t="s">
        <v>2010</v>
      </c>
    </row>
    <row r="678" spans="1:7">
      <c r="A678">
        <v>10586759</v>
      </c>
      <c r="B678">
        <v>1.67042966166623</v>
      </c>
      <c r="C678">
        <v>8.9879592659781807E-2</v>
      </c>
      <c r="D678" t="s">
        <v>161</v>
      </c>
      <c r="E678" t="s">
        <v>162</v>
      </c>
      <c r="F678" t="s">
        <v>163</v>
      </c>
      <c r="G678" t="s">
        <v>2010</v>
      </c>
    </row>
    <row r="679" spans="1:7">
      <c r="A679">
        <v>10562784</v>
      </c>
      <c r="B679">
        <v>1.66914875360119</v>
      </c>
      <c r="C679">
        <v>0.13546060699731199</v>
      </c>
      <c r="D679" t="s">
        <v>164</v>
      </c>
      <c r="E679" t="s">
        <v>165</v>
      </c>
      <c r="F679" t="s">
        <v>166</v>
      </c>
      <c r="G679" t="s">
        <v>2010</v>
      </c>
    </row>
    <row r="680" spans="1:7">
      <c r="A680">
        <v>10463282</v>
      </c>
      <c r="B680">
        <v>1.6689859531422999</v>
      </c>
      <c r="C680">
        <v>6.0637362772835303E-2</v>
      </c>
      <c r="D680" t="s">
        <v>167</v>
      </c>
      <c r="E680" t="s">
        <v>168</v>
      </c>
      <c r="F680" t="s">
        <v>169</v>
      </c>
      <c r="G680" t="s">
        <v>2010</v>
      </c>
    </row>
    <row r="681" spans="1:7">
      <c r="A681">
        <v>10378114</v>
      </c>
      <c r="B681">
        <v>1.6619282714581001</v>
      </c>
      <c r="C681">
        <v>0.197555946399917</v>
      </c>
      <c r="D681" t="s">
        <v>170</v>
      </c>
      <c r="E681" t="s">
        <v>171</v>
      </c>
      <c r="F681" t="s">
        <v>172</v>
      </c>
      <c r="G681" t="s">
        <v>2010</v>
      </c>
    </row>
    <row r="682" spans="1:7">
      <c r="A682">
        <v>10563275</v>
      </c>
      <c r="B682">
        <v>1.65768669185163</v>
      </c>
      <c r="C682">
        <v>0.13357132716810299</v>
      </c>
      <c r="D682" t="s">
        <v>173</v>
      </c>
      <c r="E682" t="s">
        <v>174</v>
      </c>
      <c r="F682" t="s">
        <v>33</v>
      </c>
      <c r="G682" t="s">
        <v>2010</v>
      </c>
    </row>
    <row r="683" spans="1:7">
      <c r="A683">
        <v>10493690</v>
      </c>
      <c r="B683">
        <v>1.65565475687886</v>
      </c>
      <c r="C683">
        <v>3.5367481089244403E-2</v>
      </c>
      <c r="D683" t="s">
        <v>937</v>
      </c>
      <c r="E683" t="s">
        <v>938</v>
      </c>
      <c r="F683" t="s">
        <v>939</v>
      </c>
      <c r="G683" t="s">
        <v>2010</v>
      </c>
    </row>
    <row r="684" spans="1:7">
      <c r="A684">
        <v>10532052</v>
      </c>
      <c r="B684">
        <v>1.6532447249673701</v>
      </c>
      <c r="C684">
        <v>0.130431471803376</v>
      </c>
      <c r="D684" t="s">
        <v>34</v>
      </c>
      <c r="E684" t="s">
        <v>35</v>
      </c>
      <c r="F684" t="s">
        <v>36</v>
      </c>
      <c r="G684" t="s">
        <v>2010</v>
      </c>
    </row>
    <row r="685" spans="1:7">
      <c r="A685">
        <v>10481634</v>
      </c>
      <c r="B685">
        <v>1.6532107668770399</v>
      </c>
      <c r="C685">
        <v>9.7685646397137393E-2</v>
      </c>
      <c r="D685" t="s">
        <v>37</v>
      </c>
      <c r="E685" t="s">
        <v>38</v>
      </c>
      <c r="F685" t="s">
        <v>39</v>
      </c>
      <c r="G685" t="s">
        <v>2010</v>
      </c>
    </row>
    <row r="686" spans="1:7">
      <c r="A686">
        <v>10606355</v>
      </c>
      <c r="B686">
        <v>1.65231761466393</v>
      </c>
      <c r="C686">
        <v>0.1459972875768</v>
      </c>
      <c r="D686" t="s">
        <v>40</v>
      </c>
      <c r="E686" t="s">
        <v>41</v>
      </c>
      <c r="F686" t="s">
        <v>42</v>
      </c>
      <c r="G686" t="s">
        <v>2010</v>
      </c>
    </row>
    <row r="687" spans="1:7">
      <c r="A687">
        <v>10447100</v>
      </c>
      <c r="B687">
        <v>1.6399359811776</v>
      </c>
      <c r="C687">
        <v>0.14459591996951099</v>
      </c>
      <c r="D687" t="s">
        <v>43</v>
      </c>
      <c r="E687" t="s">
        <v>44</v>
      </c>
      <c r="F687" t="s">
        <v>45</v>
      </c>
      <c r="G687" t="s">
        <v>2010</v>
      </c>
    </row>
    <row r="688" spans="1:7">
      <c r="A688">
        <v>10450496</v>
      </c>
      <c r="B688">
        <v>1.6365490374065499</v>
      </c>
      <c r="C688">
        <v>1.7403942251834E-2</v>
      </c>
      <c r="D688" t="s">
        <v>193</v>
      </c>
      <c r="E688" t="s">
        <v>194</v>
      </c>
      <c r="F688" t="s">
        <v>195</v>
      </c>
      <c r="G688" t="s">
        <v>2010</v>
      </c>
    </row>
    <row r="689" spans="1:7">
      <c r="A689">
        <v>10369604</v>
      </c>
      <c r="B689">
        <v>1.6258319054711401</v>
      </c>
      <c r="C689">
        <v>0.13340602304454499</v>
      </c>
      <c r="D689" t="s">
        <v>196</v>
      </c>
      <c r="E689" t="s">
        <v>197</v>
      </c>
      <c r="F689" t="s">
        <v>198</v>
      </c>
      <c r="G689" t="s">
        <v>2010</v>
      </c>
    </row>
    <row r="690" spans="1:7">
      <c r="A690">
        <v>10389373</v>
      </c>
      <c r="B690">
        <v>1.6177514902635799</v>
      </c>
      <c r="C690">
        <v>5.6929797613566098E-2</v>
      </c>
      <c r="D690" t="s">
        <v>199</v>
      </c>
      <c r="E690" t="s">
        <v>200</v>
      </c>
      <c r="F690" t="s">
        <v>50</v>
      </c>
      <c r="G690" t="s">
        <v>2010</v>
      </c>
    </row>
    <row r="691" spans="1:7">
      <c r="A691">
        <v>10524882</v>
      </c>
      <c r="B691">
        <v>1.6151238763097699</v>
      </c>
      <c r="C691">
        <v>7.8667662050417406E-2</v>
      </c>
      <c r="D691" t="s">
        <v>51</v>
      </c>
      <c r="E691" t="s">
        <v>52</v>
      </c>
      <c r="F691" t="s">
        <v>53</v>
      </c>
      <c r="G691" t="s">
        <v>2010</v>
      </c>
    </row>
    <row r="692" spans="1:7">
      <c r="A692">
        <v>10385052</v>
      </c>
      <c r="B692">
        <v>1.61413206127791</v>
      </c>
      <c r="C692">
        <v>4.6178314334627997E-2</v>
      </c>
      <c r="D692" t="s">
        <v>54</v>
      </c>
      <c r="E692" t="s">
        <v>55</v>
      </c>
      <c r="F692" t="s">
        <v>56</v>
      </c>
      <c r="G692" t="s">
        <v>2010</v>
      </c>
    </row>
    <row r="693" spans="1:7">
      <c r="A693">
        <v>10394699</v>
      </c>
      <c r="B693">
        <v>1.6123607616204001</v>
      </c>
      <c r="C693">
        <v>8.0690544564311004E-2</v>
      </c>
      <c r="D693" t="s">
        <v>57</v>
      </c>
      <c r="E693" t="s">
        <v>58</v>
      </c>
      <c r="F693" t="s">
        <v>59</v>
      </c>
      <c r="G693" t="s">
        <v>2010</v>
      </c>
    </row>
    <row r="694" spans="1:7">
      <c r="A694">
        <v>10444320</v>
      </c>
      <c r="B694">
        <v>1.6067620012034001</v>
      </c>
      <c r="C694">
        <v>0.12275810599835001</v>
      </c>
      <c r="D694" t="s">
        <v>60</v>
      </c>
      <c r="E694" t="s">
        <v>214</v>
      </c>
      <c r="F694" t="s">
        <v>215</v>
      </c>
      <c r="G694" t="s">
        <v>2010</v>
      </c>
    </row>
    <row r="695" spans="1:7">
      <c r="A695">
        <v>10569569</v>
      </c>
      <c r="B695">
        <v>1.6006165635051499</v>
      </c>
      <c r="C695">
        <v>7.7219316587908607E-2</v>
      </c>
      <c r="D695" t="s">
        <v>62</v>
      </c>
      <c r="E695" t="s">
        <v>63</v>
      </c>
      <c r="F695" t="s">
        <v>64</v>
      </c>
      <c r="G695" t="s">
        <v>2010</v>
      </c>
    </row>
    <row r="696" spans="1:7">
      <c r="A696">
        <v>10430783</v>
      </c>
      <c r="B696">
        <v>1.5887063718746499</v>
      </c>
      <c r="C696">
        <v>8.8914051672951494E-2</v>
      </c>
      <c r="D696" t="s">
        <v>65</v>
      </c>
      <c r="E696" t="s">
        <v>66</v>
      </c>
      <c r="F696" t="s">
        <v>67</v>
      </c>
      <c r="G696" t="s">
        <v>2010</v>
      </c>
    </row>
    <row r="697" spans="1:7">
      <c r="A697">
        <v>10468275</v>
      </c>
      <c r="B697">
        <v>1.56728869907993</v>
      </c>
      <c r="C697">
        <v>2.249849616667E-2</v>
      </c>
      <c r="D697" t="s">
        <v>68</v>
      </c>
      <c r="E697" t="s">
        <v>69</v>
      </c>
      <c r="F697" t="s">
        <v>70</v>
      </c>
      <c r="G697" t="s">
        <v>2010</v>
      </c>
    </row>
    <row r="698" spans="1:7">
      <c r="A698">
        <v>10444911</v>
      </c>
      <c r="B698">
        <v>1.5503397667735099</v>
      </c>
      <c r="C698">
        <v>2.80666140621437E-2</v>
      </c>
      <c r="D698" t="s">
        <v>71</v>
      </c>
      <c r="E698" t="s">
        <v>72</v>
      </c>
      <c r="F698" t="s">
        <v>73</v>
      </c>
      <c r="G698" t="s">
        <v>2010</v>
      </c>
    </row>
  </sheetData>
  <mergeCells count="46">
    <mergeCell ref="D635:E635"/>
    <mergeCell ref="D651:E651"/>
    <mergeCell ref="D656:E656"/>
    <mergeCell ref="D657:E657"/>
    <mergeCell ref="D586:E586"/>
    <mergeCell ref="D591:E591"/>
    <mergeCell ref="D609:E609"/>
    <mergeCell ref="D618:E618"/>
    <mergeCell ref="D624:E624"/>
    <mergeCell ref="D628:E628"/>
    <mergeCell ref="D577:E577"/>
    <mergeCell ref="D441:E441"/>
    <mergeCell ref="D442:E442"/>
    <mergeCell ref="D444:E444"/>
    <mergeCell ref="D453:E453"/>
    <mergeCell ref="D492:E492"/>
    <mergeCell ref="D498:E498"/>
    <mergeCell ref="D504:E504"/>
    <mergeCell ref="D558:E558"/>
    <mergeCell ref="D560:E560"/>
    <mergeCell ref="D566:E566"/>
    <mergeCell ref="D573:E573"/>
    <mergeCell ref="D439:E439"/>
    <mergeCell ref="D315:E315"/>
    <mergeCell ref="D316:E316"/>
    <mergeCell ref="D318:E318"/>
    <mergeCell ref="D359:E359"/>
    <mergeCell ref="D360:E360"/>
    <mergeCell ref="D377:E377"/>
    <mergeCell ref="D393:E393"/>
    <mergeCell ref="D394:E394"/>
    <mergeCell ref="D404:E404"/>
    <mergeCell ref="D406:E406"/>
    <mergeCell ref="D432:E432"/>
    <mergeCell ref="D313:E313"/>
    <mergeCell ref="D15:E15"/>
    <mergeCell ref="D30:E30"/>
    <mergeCell ref="D59:E59"/>
    <mergeCell ref="D138:E138"/>
    <mergeCell ref="D167:E167"/>
    <mergeCell ref="D171:E171"/>
    <mergeCell ref="D202:E202"/>
    <mergeCell ref="D207:E207"/>
    <mergeCell ref="D253:E253"/>
    <mergeCell ref="D287:E287"/>
    <mergeCell ref="D306:E306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J458"/>
  <sheetViews>
    <sheetView workbookViewId="0">
      <selection activeCell="I4" sqref="I4"/>
    </sheetView>
  </sheetViews>
  <sheetFormatPr baseColWidth="10" defaultRowHeight="13"/>
  <cols>
    <col min="9" max="9" width="26.7109375" customWidth="1"/>
  </cols>
  <sheetData>
    <row r="3" spans="1:10">
      <c r="B3" s="1" t="s">
        <v>2152</v>
      </c>
    </row>
    <row r="5" spans="1:10">
      <c r="B5" t="s">
        <v>2249</v>
      </c>
      <c r="C5" t="s">
        <v>2250</v>
      </c>
      <c r="E5" t="str">
        <f>"Input"</f>
        <v>Input</v>
      </c>
      <c r="F5" t="str">
        <f>"Input type"</f>
        <v>Input type</v>
      </c>
      <c r="G5" t="str">
        <f>"MGI Gene/Marker ID"</f>
        <v>MGI Gene/Marker ID</v>
      </c>
      <c r="H5" t="str">
        <f>"Symbol"</f>
        <v>Symbol</v>
      </c>
      <c r="I5" t="str">
        <f>"Name"</f>
        <v>Name</v>
      </c>
      <c r="J5" t="str">
        <f>"Feature Type"</f>
        <v>Feature Type</v>
      </c>
    </row>
    <row r="6" spans="1:10">
      <c r="A6">
        <v>10358399</v>
      </c>
      <c r="B6">
        <v>104.93175203451401</v>
      </c>
      <c r="C6">
        <v>9.2737538136101598</v>
      </c>
      <c r="E6" t="str">
        <f>"10358399"</f>
        <v>10358399</v>
      </c>
      <c r="F6" t="str">
        <f t="shared" ref="F6:F15" si="0">"Affy 1.0 ST"</f>
        <v>Affy 1.0 ST</v>
      </c>
      <c r="G6" t="str">
        <f>"MGI:2180585"</f>
        <v>MGI:2180585</v>
      </c>
      <c r="H6" t="str">
        <f>"Rgs13"</f>
        <v>Rgs13</v>
      </c>
      <c r="I6" t="str">
        <f>"regulator of G-protein signaling 13"</f>
        <v>regulator of G-protein signaling 13</v>
      </c>
      <c r="J6" t="str">
        <f t="shared" ref="J6:J12" si="1">"protein coding gene"</f>
        <v>protein coding gene</v>
      </c>
    </row>
    <row r="7" spans="1:10">
      <c r="A7">
        <v>10531126</v>
      </c>
      <c r="B7">
        <v>82.478896910434301</v>
      </c>
      <c r="C7">
        <v>32.692964427247198</v>
      </c>
      <c r="E7" t="str">
        <f>"10531126"</f>
        <v>10531126</v>
      </c>
      <c r="F7" t="str">
        <f t="shared" si="0"/>
        <v>Affy 1.0 ST</v>
      </c>
      <c r="G7" t="str">
        <f>"MGI:96493"</f>
        <v>MGI:96493</v>
      </c>
      <c r="H7" t="str">
        <f>"Igj"</f>
        <v>Igj</v>
      </c>
      <c r="I7" t="str">
        <f>"immunoglobulin joining chain"</f>
        <v>immunoglobulin joining chain</v>
      </c>
      <c r="J7" t="str">
        <f t="shared" si="1"/>
        <v>protein coding gene</v>
      </c>
    </row>
    <row r="8" spans="1:10">
      <c r="A8">
        <v>10541507</v>
      </c>
      <c r="B8">
        <v>79.031691380460302</v>
      </c>
      <c r="C8">
        <v>8.0599037162853708</v>
      </c>
      <c r="E8" t="str">
        <f>"10541507"</f>
        <v>10541507</v>
      </c>
      <c r="F8" t="str">
        <f t="shared" si="0"/>
        <v>Affy 1.0 ST</v>
      </c>
      <c r="G8" t="str">
        <f>"MGI:1342279"</f>
        <v>MGI:1342279</v>
      </c>
      <c r="H8" t="str">
        <f>"Aicda"</f>
        <v>Aicda</v>
      </c>
      <c r="I8" t="str">
        <f>"activation-induced cytidine deaminase"</f>
        <v>activation-induced cytidine deaminase</v>
      </c>
      <c r="J8" t="str">
        <f t="shared" si="1"/>
        <v>protein coding gene</v>
      </c>
    </row>
    <row r="9" spans="1:10">
      <c r="A9">
        <v>10416006</v>
      </c>
      <c r="B9">
        <v>54.592122335399601</v>
      </c>
      <c r="C9">
        <v>1.88292030157223</v>
      </c>
      <c r="E9" t="str">
        <f>"10416006"</f>
        <v>10416006</v>
      </c>
      <c r="F9" t="str">
        <f t="shared" si="0"/>
        <v>Affy 1.0 ST</v>
      </c>
      <c r="G9" t="str">
        <f>"MGI:2685446"</f>
        <v>MGI:2685446</v>
      </c>
      <c r="H9" t="str">
        <f>"Gm600"</f>
        <v>Gm600</v>
      </c>
      <c r="I9" t="str">
        <f>"predicted gene 600"</f>
        <v>predicted gene 600</v>
      </c>
      <c r="J9" t="str">
        <f t="shared" si="1"/>
        <v>protein coding gene</v>
      </c>
    </row>
    <row r="10" spans="1:10">
      <c r="A10">
        <v>10353010</v>
      </c>
      <c r="B10">
        <v>48.690814703551503</v>
      </c>
      <c r="C10">
        <v>62.135082993029599</v>
      </c>
      <c r="E10" t="str">
        <f>"10353010"</f>
        <v>10353010</v>
      </c>
      <c r="F10" t="str">
        <f t="shared" si="0"/>
        <v>Affy 1.0 ST</v>
      </c>
      <c r="G10" t="str">
        <f>"MGI:99925"</f>
        <v>MGI:99925</v>
      </c>
      <c r="H10" t="str">
        <f>"Mybl1"</f>
        <v>Mybl1</v>
      </c>
      <c r="I10" t="str">
        <f>"myeloblastosis oncogene-like 1"</f>
        <v>myeloblastosis oncogene-like 1</v>
      </c>
      <c r="J10" t="str">
        <f t="shared" si="1"/>
        <v>protein coding gene</v>
      </c>
    </row>
    <row r="11" spans="1:10">
      <c r="A11">
        <v>10531261</v>
      </c>
      <c r="B11">
        <v>42.250006128773599</v>
      </c>
      <c r="C11">
        <v>8.9546228551559697</v>
      </c>
      <c r="E11" t="str">
        <f>"10531261"</f>
        <v>10531261</v>
      </c>
      <c r="F11" t="str">
        <f t="shared" si="0"/>
        <v>Affy 1.0 ST</v>
      </c>
      <c r="G11" t="str">
        <f>"MGI:1920496"</f>
        <v>MGI:1920496</v>
      </c>
      <c r="H11" t="str">
        <f>"Rassf6"</f>
        <v>Rassf6</v>
      </c>
      <c r="I11" t="str">
        <f>"Ras association (RalGDS/AF-6) domain family member 6"</f>
        <v>Ras association (RalGDS/AF-6) domain family member 6</v>
      </c>
      <c r="J11" t="str">
        <f t="shared" si="1"/>
        <v>protein coding gene</v>
      </c>
    </row>
    <row r="12" spans="1:10">
      <c r="A12">
        <v>10436024</v>
      </c>
      <c r="B12">
        <v>41.493531776886201</v>
      </c>
      <c r="C12">
        <v>13.1712673020435</v>
      </c>
      <c r="E12" t="str">
        <f>"10436024"</f>
        <v>10436024</v>
      </c>
      <c r="F12" t="str">
        <f t="shared" si="0"/>
        <v>Affy 1.0 ST</v>
      </c>
      <c r="G12" t="str">
        <f>"MGI:102969"</f>
        <v>MGI:102969</v>
      </c>
      <c r="H12" t="str">
        <f>"Gcet2"</f>
        <v>Gcet2</v>
      </c>
      <c r="I12" t="str">
        <f>"germinal center expressed transcript 2"</f>
        <v>germinal center expressed transcript 2</v>
      </c>
      <c r="J12" t="str">
        <f t="shared" si="1"/>
        <v>protein coding gene</v>
      </c>
    </row>
    <row r="13" spans="1:10">
      <c r="A13">
        <v>10446965</v>
      </c>
      <c r="B13">
        <v>39.477808550961498</v>
      </c>
      <c r="C13">
        <v>46.113665376230799</v>
      </c>
      <c r="E13" t="str">
        <f>"10446965"</f>
        <v>10446965</v>
      </c>
      <c r="F13" t="str">
        <f t="shared" si="0"/>
        <v>Affy 1.0 ST</v>
      </c>
      <c r="G13" t="str">
        <f>"MGI:3028579"</f>
        <v>MGI:3028579</v>
      </c>
      <c r="H13" t="str">
        <f>"Rasgrp3"</f>
        <v>Rasgrp3</v>
      </c>
      <c r="I13" t="s">
        <v>1814</v>
      </c>
      <c r="J13" t="s">
        <v>2010</v>
      </c>
    </row>
    <row r="14" spans="1:10">
      <c r="A14">
        <v>10403021</v>
      </c>
      <c r="B14">
        <v>34.682572930476802</v>
      </c>
      <c r="C14">
        <v>54.754439186917402</v>
      </c>
      <c r="E14" t="str">
        <f>"10403021"</f>
        <v>10403021</v>
      </c>
      <c r="F14" t="str">
        <f t="shared" si="0"/>
        <v>Affy 1.0 ST</v>
      </c>
      <c r="G14" t="str">
        <f>"MGI:3704124"</f>
        <v>MGI:3704124</v>
      </c>
      <c r="H14" t="str">
        <f>"Ighv1-43"</f>
        <v>Ighv1-43</v>
      </c>
      <c r="I14" t="str">
        <f>"immunoglobulin heavy variable V1-43"</f>
        <v>immunoglobulin heavy variable V1-43</v>
      </c>
      <c r="J14" t="str">
        <f>"gene segment"</f>
        <v>gene segment</v>
      </c>
    </row>
    <row r="15" spans="1:10">
      <c r="A15">
        <v>10531737</v>
      </c>
      <c r="B15">
        <v>24.887416368493799</v>
      </c>
      <c r="C15">
        <v>19.416306766909599</v>
      </c>
      <c r="E15" t="str">
        <f>"10531737"</f>
        <v>10531737</v>
      </c>
      <c r="F15" t="str">
        <f t="shared" si="0"/>
        <v>Affy 1.0 ST</v>
      </c>
      <c r="G15" t="str">
        <f>"MGI:1343124"</f>
        <v>MGI:1343124</v>
      </c>
      <c r="H15" t="str">
        <f>"Hpse"</f>
        <v>Hpse</v>
      </c>
      <c r="I15" t="str">
        <f>"heparanase"</f>
        <v>heparanase</v>
      </c>
      <c r="J15" t="str">
        <f>"protein coding gene"</f>
        <v>protein coding gene</v>
      </c>
    </row>
    <row r="16" spans="1:10">
      <c r="A16">
        <v>10545190</v>
      </c>
      <c r="B16">
        <v>24.118268553074302</v>
      </c>
      <c r="C16">
        <v>24.607609024832399</v>
      </c>
      <c r="E16" t="str">
        <f>"10545190"</f>
        <v>10545190</v>
      </c>
      <c r="F16" t="str">
        <f>""</f>
        <v/>
      </c>
      <c r="G16" t="str">
        <f>"No associated gene"</f>
        <v>No associated gene</v>
      </c>
    </row>
    <row r="17" spans="1:10">
      <c r="A17">
        <v>10576757</v>
      </c>
      <c r="B17">
        <v>22.952606186713801</v>
      </c>
      <c r="C17">
        <v>18.301002768968299</v>
      </c>
      <c r="E17" t="str">
        <f>"10576757"</f>
        <v>10576757</v>
      </c>
      <c r="F17" t="str">
        <f t="shared" ref="F17:F52" si="2">"Affy 1.0 ST"</f>
        <v>Affy 1.0 ST</v>
      </c>
      <c r="G17" t="str">
        <f>"MGI:95497"</f>
        <v>MGI:95497</v>
      </c>
      <c r="H17" t="str">
        <f>"Fcer2a"</f>
        <v>Fcer2a</v>
      </c>
      <c r="I17" t="s">
        <v>1681</v>
      </c>
      <c r="J17" t="s">
        <v>2010</v>
      </c>
    </row>
    <row r="18" spans="1:10">
      <c r="A18">
        <v>10487011</v>
      </c>
      <c r="B18">
        <v>20.8268677843331</v>
      </c>
      <c r="C18">
        <v>4.14500868225727</v>
      </c>
      <c r="E18" t="str">
        <f>"10487011"</f>
        <v>10487011</v>
      </c>
      <c r="F18" t="str">
        <f t="shared" si="2"/>
        <v>Affy 1.0 ST</v>
      </c>
      <c r="G18" t="str">
        <f>"MGI:1914342"</f>
        <v>MGI:1914342</v>
      </c>
      <c r="H18" t="str">
        <f>"Gatm"</f>
        <v>Gatm</v>
      </c>
      <c r="I18" t="str">
        <f>"glycine amidinotransferase (L-arginine:glycine amidinotransferase)"</f>
        <v>glycine amidinotransferase (L-arginine:glycine amidinotransferase)</v>
      </c>
      <c r="J18" t="str">
        <f>"protein coding gene"</f>
        <v>protein coding gene</v>
      </c>
    </row>
    <row r="19" spans="1:10">
      <c r="A19">
        <v>10371321</v>
      </c>
      <c r="B19">
        <v>20.1289236770426</v>
      </c>
      <c r="C19">
        <v>13.589797888703</v>
      </c>
      <c r="E19" t="str">
        <f>"10371321"</f>
        <v>10371321</v>
      </c>
      <c r="F19" t="str">
        <f t="shared" si="2"/>
        <v>Affy 1.0 ST</v>
      </c>
      <c r="G19" t="str">
        <f>"MGI:2442940"</f>
        <v>MGI:2442940</v>
      </c>
      <c r="H19" t="str">
        <f>"Slc41a2"</f>
        <v>Slc41a2</v>
      </c>
      <c r="I19" t="s">
        <v>1717</v>
      </c>
      <c r="J19" t="s">
        <v>2010</v>
      </c>
    </row>
    <row r="20" spans="1:10">
      <c r="A20">
        <v>10368289</v>
      </c>
      <c r="B20">
        <v>17.8825927642315</v>
      </c>
      <c r="C20">
        <v>13.0988310400452</v>
      </c>
      <c r="E20" t="str">
        <f>"10368289"</f>
        <v>10368289</v>
      </c>
      <c r="F20" t="str">
        <f t="shared" si="2"/>
        <v>Affy 1.0 ST</v>
      </c>
      <c r="G20" t="str">
        <f>"MGI:97370"</f>
        <v>MGI:97370</v>
      </c>
      <c r="H20" t="str">
        <f>"Enpp1"</f>
        <v>Enpp1</v>
      </c>
      <c r="I20" t="str">
        <f>"ectonucleotide pyrophosphatase/phosphodiesterase 1"</f>
        <v>ectonucleotide pyrophosphatase/phosphodiesterase 1</v>
      </c>
      <c r="J20" t="str">
        <f>"protein coding gene"</f>
        <v>protein coding gene</v>
      </c>
    </row>
    <row r="21" spans="1:10">
      <c r="A21">
        <v>10585276</v>
      </c>
      <c r="B21">
        <v>16.644459890760999</v>
      </c>
      <c r="C21">
        <v>25.739101427755202</v>
      </c>
      <c r="E21" t="str">
        <f>"10585276"</f>
        <v>10585276</v>
      </c>
      <c r="F21" t="str">
        <f t="shared" si="2"/>
        <v>Affy 1.0 ST</v>
      </c>
      <c r="G21" t="str">
        <f>"MGI:105086"</f>
        <v>MGI:105086</v>
      </c>
      <c r="H21" t="str">
        <f>"Pou2af1"</f>
        <v>Pou2af1</v>
      </c>
      <c r="I21" t="s">
        <v>1926</v>
      </c>
      <c r="J21" t="s">
        <v>2010</v>
      </c>
    </row>
    <row r="22" spans="1:10">
      <c r="A22">
        <v>10387985</v>
      </c>
      <c r="B22">
        <v>16.128818980373602</v>
      </c>
      <c r="C22">
        <v>3.5394879046682899</v>
      </c>
      <c r="E22" t="str">
        <f>"10387985"</f>
        <v>10387985</v>
      </c>
      <c r="F22" t="str">
        <f t="shared" si="2"/>
        <v>Affy 1.0 ST</v>
      </c>
      <c r="G22" t="str">
        <f>"MGI:3610314"</f>
        <v>MGI:3610314</v>
      </c>
      <c r="H22" t="str">
        <f>"A430084P05Rik"</f>
        <v>A430084P05Rik</v>
      </c>
      <c r="I22" t="str">
        <f>"RIKEN cDNA A430084P05 gene"</f>
        <v>RIKEN cDNA A430084P05 gene</v>
      </c>
      <c r="J22" t="str">
        <f>"protein coding gene"</f>
        <v>protein coding gene</v>
      </c>
    </row>
    <row r="23" spans="1:10">
      <c r="A23">
        <v>10384458</v>
      </c>
      <c r="B23">
        <v>16.098994205367699</v>
      </c>
      <c r="C23">
        <v>21.606145928923901</v>
      </c>
      <c r="E23" t="str">
        <f>"10384458"</f>
        <v>10384458</v>
      </c>
      <c r="F23" t="str">
        <f t="shared" si="2"/>
        <v>Affy 1.0 ST</v>
      </c>
      <c r="G23" t="str">
        <f>"MGI:1860485"</f>
        <v>MGI:1860485</v>
      </c>
      <c r="H23" t="str">
        <f>"Plek"</f>
        <v>Plek</v>
      </c>
      <c r="I23" t="str">
        <f>"pleckstrin"</f>
        <v>pleckstrin</v>
      </c>
      <c r="J23" t="str">
        <f>"protein coding gene"</f>
        <v>protein coding gene</v>
      </c>
    </row>
    <row r="24" spans="1:10">
      <c r="A24">
        <v>10554938</v>
      </c>
      <c r="B24">
        <v>15.6194077847997</v>
      </c>
      <c r="C24">
        <v>12.162235286381801</v>
      </c>
      <c r="E24" t="str">
        <f>"10554938"</f>
        <v>10554938</v>
      </c>
      <c r="F24" t="str">
        <f t="shared" si="2"/>
        <v>Affy 1.0 ST</v>
      </c>
      <c r="G24" t="str">
        <f>"MGI:1923235"</f>
        <v>MGI:1923235</v>
      </c>
      <c r="H24" t="str">
        <f>"Rab30"</f>
        <v>Rab30</v>
      </c>
      <c r="I24" t="s">
        <v>1857</v>
      </c>
      <c r="J24" t="s">
        <v>2010</v>
      </c>
    </row>
    <row r="25" spans="1:10">
      <c r="A25">
        <v>10412345</v>
      </c>
      <c r="B25">
        <v>15.273184262981699</v>
      </c>
      <c r="C25">
        <v>15.6681013799322</v>
      </c>
      <c r="E25" t="str">
        <f>"10412345"</f>
        <v>10412345</v>
      </c>
      <c r="F25" t="str">
        <f t="shared" si="2"/>
        <v>Affy 1.0 ST</v>
      </c>
      <c r="G25" t="str">
        <f>"MGI:1098713"</f>
        <v>MGI:1098713</v>
      </c>
      <c r="H25" t="str">
        <f>"Parp8"</f>
        <v>Parp8</v>
      </c>
      <c r="I25" t="s">
        <v>1592</v>
      </c>
      <c r="J25" t="s">
        <v>2010</v>
      </c>
    </row>
    <row r="26" spans="1:10">
      <c r="A26">
        <v>10432636</v>
      </c>
      <c r="B26">
        <v>14.140025618345099</v>
      </c>
      <c r="C26">
        <v>6.6368873741948597</v>
      </c>
      <c r="E26" t="str">
        <f>"10432636"</f>
        <v>10432636</v>
      </c>
      <c r="F26" t="str">
        <f t="shared" si="2"/>
        <v>Affy 1.0 ST</v>
      </c>
      <c r="G26" t="str">
        <f>"MGI:2448476"</f>
        <v>MGI:2448476</v>
      </c>
      <c r="H26" t="str">
        <f>"Smagp"</f>
        <v>Smagp</v>
      </c>
      <c r="I26" t="str">
        <f>"small cell adhesion glycoprotein"</f>
        <v>small cell adhesion glycoprotein</v>
      </c>
      <c r="J26" t="str">
        <f>"protein coding gene"</f>
        <v>protein coding gene</v>
      </c>
    </row>
    <row r="27" spans="1:10">
      <c r="A27">
        <v>10462603</v>
      </c>
      <c r="B27">
        <v>13.559633785869</v>
      </c>
      <c r="C27">
        <v>11.0440265815897</v>
      </c>
      <c r="E27" t="str">
        <f>"10462603"</f>
        <v>10462603</v>
      </c>
      <c r="F27" t="str">
        <f t="shared" si="2"/>
        <v>Affy 1.0 ST</v>
      </c>
      <c r="G27" t="str">
        <f>"MGI:95484"</f>
        <v>MGI:95484</v>
      </c>
      <c r="H27" t="str">
        <f>"Fas"</f>
        <v>Fas</v>
      </c>
      <c r="I27" t="str">
        <f>"Fas (TNF receptor superfamily member 6)"</f>
        <v>Fas (TNF receptor superfamily member 6)</v>
      </c>
      <c r="J27" t="str">
        <f>"protein coding gene"</f>
        <v>protein coding gene</v>
      </c>
    </row>
    <row r="28" spans="1:10">
      <c r="A28">
        <v>10404840</v>
      </c>
      <c r="B28">
        <v>13.389192426543399</v>
      </c>
      <c r="C28">
        <v>9.1280817788803699</v>
      </c>
      <c r="E28" t="str">
        <f>"10404840"</f>
        <v>10404840</v>
      </c>
      <c r="F28" t="str">
        <f t="shared" si="2"/>
        <v>Affy 1.0 ST</v>
      </c>
      <c r="G28" t="str">
        <f>"MGI:1328316"</f>
        <v>MGI:1328316</v>
      </c>
      <c r="H28" t="str">
        <f>"Cd83"</f>
        <v>Cd83</v>
      </c>
      <c r="I28" t="str">
        <f>"CD83 antigen"</f>
        <v>CD83 antigen</v>
      </c>
      <c r="J28" t="str">
        <f>"protein coding gene"</f>
        <v>protein coding gene</v>
      </c>
    </row>
    <row r="29" spans="1:10">
      <c r="A29">
        <v>10439346</v>
      </c>
      <c r="B29">
        <v>13.257635662251801</v>
      </c>
      <c r="C29">
        <v>4.0338885228313996</v>
      </c>
      <c r="E29" t="str">
        <f>"10439346"</f>
        <v>10439346</v>
      </c>
      <c r="F29" t="str">
        <f t="shared" si="2"/>
        <v>Affy 1.0 ST</v>
      </c>
      <c r="G29" t="str">
        <f>"MGI:2146616"</f>
        <v>MGI:2146616</v>
      </c>
      <c r="H29" t="str">
        <f>"Eaf2"</f>
        <v>Eaf2</v>
      </c>
      <c r="I29" t="str">
        <f>"ELL associated factor 2"</f>
        <v>ELL associated factor 2</v>
      </c>
      <c r="J29" t="str">
        <f>"protein coding gene"</f>
        <v>protein coding gene</v>
      </c>
    </row>
    <row r="30" spans="1:10">
      <c r="A30">
        <v>10375463</v>
      </c>
      <c r="B30">
        <v>12.7290202205402</v>
      </c>
      <c r="C30">
        <v>2.50084893058043</v>
      </c>
      <c r="E30" t="str">
        <f>"10375463"</f>
        <v>10375463</v>
      </c>
      <c r="F30" t="str">
        <f t="shared" si="2"/>
        <v>Affy 1.0 ST</v>
      </c>
      <c r="G30" t="str">
        <f>"MGI:2159680"</f>
        <v>MGI:2159680</v>
      </c>
      <c r="H30" t="str">
        <f>"Havcr1"</f>
        <v>Havcr1</v>
      </c>
      <c r="I30" t="str">
        <f>"hepatitis A virus cellular receptor 1"</f>
        <v>hepatitis A virus cellular receptor 1</v>
      </c>
      <c r="J30" t="str">
        <f>"protein coding gene"</f>
        <v>protein coding gene</v>
      </c>
    </row>
    <row r="31" spans="1:10">
      <c r="A31">
        <v>10571399</v>
      </c>
      <c r="B31">
        <v>11.9088818487262</v>
      </c>
      <c r="C31">
        <v>5.4230892665599404</v>
      </c>
      <c r="E31" t="str">
        <f>"10571399"</f>
        <v>10571399</v>
      </c>
      <c r="F31" t="str">
        <f t="shared" si="2"/>
        <v>Affy 1.0 ST</v>
      </c>
      <c r="G31" t="str">
        <f>"MGI:1923452"</f>
        <v>MGI:1923452</v>
      </c>
      <c r="H31" t="str">
        <f>"Zdhhc2"</f>
        <v>Zdhhc2</v>
      </c>
      <c r="I31" t="s">
        <v>3</v>
      </c>
      <c r="J31" t="s">
        <v>2010</v>
      </c>
    </row>
    <row r="32" spans="1:10">
      <c r="A32">
        <v>10431424</v>
      </c>
      <c r="B32">
        <v>11.7044386690586</v>
      </c>
      <c r="C32">
        <v>9.3529691848986207</v>
      </c>
      <c r="E32" t="str">
        <f>"10431424"</f>
        <v>10431424</v>
      </c>
      <c r="F32" t="str">
        <f t="shared" si="2"/>
        <v>Affy 1.0 ST</v>
      </c>
      <c r="G32" t="str">
        <f>"MGI:2154239"</f>
        <v>MGI:2154239</v>
      </c>
      <c r="H32" t="str">
        <f>"Plxnb2"</f>
        <v>Plxnb2</v>
      </c>
      <c r="I32" t="str">
        <f>"plexin B2"</f>
        <v>plexin B2</v>
      </c>
      <c r="J32" t="str">
        <f>"protein coding gene"</f>
        <v>protein coding gene</v>
      </c>
    </row>
    <row r="33" spans="1:10">
      <c r="A33">
        <v>10473809</v>
      </c>
      <c r="B33">
        <v>11.330349278502601</v>
      </c>
      <c r="C33">
        <v>16.314885866891501</v>
      </c>
      <c r="E33" t="str">
        <f>"10473809"</f>
        <v>10473809</v>
      </c>
      <c r="F33" t="str">
        <f t="shared" si="2"/>
        <v>Affy 1.0 ST</v>
      </c>
      <c r="G33" t="str">
        <f>"MGI:98282"</f>
        <v>MGI:98282</v>
      </c>
      <c r="H33" t="str">
        <f>"Sfpi1"</f>
        <v>Sfpi1</v>
      </c>
      <c r="I33" t="str">
        <f>"SFFV proviral integration 1"</f>
        <v>SFFV proviral integration 1</v>
      </c>
      <c r="J33" t="str">
        <f>"protein coding gene"</f>
        <v>protein coding gene</v>
      </c>
    </row>
    <row r="34" spans="1:10">
      <c r="A34">
        <v>10587639</v>
      </c>
      <c r="B34">
        <v>11.163315074702201</v>
      </c>
      <c r="C34">
        <v>2.2650419007346101</v>
      </c>
      <c r="E34" t="str">
        <f>"10587639"</f>
        <v>10587639</v>
      </c>
      <c r="F34" t="str">
        <f t="shared" si="2"/>
        <v>Affy 1.0 ST</v>
      </c>
      <c r="G34" t="str">
        <f>"MGI:99782"</f>
        <v>MGI:99782</v>
      </c>
      <c r="H34" t="str">
        <f>"Nt5e"</f>
        <v>Nt5e</v>
      </c>
      <c r="I34" t="s">
        <v>1425</v>
      </c>
      <c r="J34" t="s">
        <v>2010</v>
      </c>
    </row>
    <row r="35" spans="1:10">
      <c r="A35">
        <v>10575799</v>
      </c>
      <c r="B35">
        <v>10.491735347663701</v>
      </c>
      <c r="C35">
        <v>15.2104890194395</v>
      </c>
      <c r="E35" t="str">
        <f>"10575799"</f>
        <v>10575799</v>
      </c>
      <c r="F35" t="str">
        <f t="shared" si="2"/>
        <v>Affy 1.0 ST</v>
      </c>
      <c r="G35" t="str">
        <f>"MGI:97616"</f>
        <v>MGI:97616</v>
      </c>
      <c r="H35" t="str">
        <f>"Plcg2"</f>
        <v>Plcg2</v>
      </c>
      <c r="I35" t="s">
        <v>1661</v>
      </c>
      <c r="J35" t="s">
        <v>2010</v>
      </c>
    </row>
    <row r="36" spans="1:10">
      <c r="A36">
        <v>10364950</v>
      </c>
      <c r="B36">
        <v>10.137992947330901</v>
      </c>
      <c r="C36">
        <v>9.1432433074407502</v>
      </c>
      <c r="E36" t="str">
        <f>"10364950"</f>
        <v>10364950</v>
      </c>
      <c r="F36" t="str">
        <f t="shared" si="2"/>
        <v>Affy 1.0 ST</v>
      </c>
      <c r="G36" t="str">
        <f>"MGI:107776"</f>
        <v>MGI:107776</v>
      </c>
      <c r="H36" t="str">
        <f>"Gadd45b"</f>
        <v>Gadd45b</v>
      </c>
      <c r="I36" t="str">
        <f>"growth arrest and DNA-damage-inducible 45 beta"</f>
        <v>growth arrest and DNA-damage-inducible 45 beta</v>
      </c>
      <c r="J36" t="str">
        <f>"protein coding gene"</f>
        <v>protein coding gene</v>
      </c>
    </row>
    <row r="37" spans="1:10">
      <c r="A37">
        <v>10539850</v>
      </c>
      <c r="B37">
        <v>9.8787042651377508</v>
      </c>
      <c r="C37">
        <v>2.4031100079399801</v>
      </c>
      <c r="E37" t="str">
        <f>"10539850"</f>
        <v>10539850</v>
      </c>
      <c r="F37" t="str">
        <f t="shared" si="2"/>
        <v>Affy 1.0 ST</v>
      </c>
      <c r="G37" t="str">
        <f>"MGI:1914053"</f>
        <v>MGI:1914053</v>
      </c>
      <c r="H37" t="str">
        <f>"8430410A17Rik"</f>
        <v>8430410A17Rik</v>
      </c>
      <c r="I37" t="str">
        <f>"RIKEN cDNA 8430410A17 gene"</f>
        <v>RIKEN cDNA 8430410A17 gene</v>
      </c>
      <c r="J37" t="str">
        <f>"protein coding gene"</f>
        <v>protein coding gene</v>
      </c>
    </row>
    <row r="38" spans="1:10">
      <c r="A38">
        <v>10418927</v>
      </c>
      <c r="B38">
        <v>9.5314013162859208</v>
      </c>
      <c r="C38">
        <v>0.30969097977996402</v>
      </c>
      <c r="E38" t="str">
        <f>"10418927"</f>
        <v>10418927</v>
      </c>
      <c r="F38" t="str">
        <f t="shared" si="2"/>
        <v>Affy 1.0 ST</v>
      </c>
      <c r="G38" t="str">
        <f>"MGI:1338938"</f>
        <v>MGI:1338938</v>
      </c>
      <c r="H38" t="str">
        <f>"Bmpr1a"</f>
        <v>Bmpr1a</v>
      </c>
      <c r="I38" t="s">
        <v>1780</v>
      </c>
      <c r="J38" t="s">
        <v>2010</v>
      </c>
    </row>
    <row r="39" spans="1:10">
      <c r="A39">
        <v>10434758</v>
      </c>
      <c r="B39">
        <v>9.4680951327574299</v>
      </c>
      <c r="C39">
        <v>12.454641740221501</v>
      </c>
      <c r="E39" t="str">
        <f>"10434758"</f>
        <v>10434758</v>
      </c>
      <c r="F39" t="str">
        <f t="shared" si="2"/>
        <v>Affy 1.0 ST</v>
      </c>
      <c r="G39" t="str">
        <f>"MGI:108470"</f>
        <v>MGI:108470</v>
      </c>
      <c r="H39" t="str">
        <f>"St6gal1"</f>
        <v>St6gal1</v>
      </c>
      <c r="I39" t="s">
        <v>1690</v>
      </c>
      <c r="J39" t="s">
        <v>2010</v>
      </c>
    </row>
    <row r="40" spans="1:10">
      <c r="A40">
        <v>10542164</v>
      </c>
      <c r="B40">
        <v>9.4231375669456998</v>
      </c>
      <c r="C40">
        <v>6.4082153510899102</v>
      </c>
      <c r="E40" t="str">
        <f>"10542164"</f>
        <v>10542164</v>
      </c>
      <c r="F40" t="str">
        <f t="shared" si="2"/>
        <v>Affy 1.0 ST</v>
      </c>
      <c r="G40" t="str">
        <f>"MGI:3040968"</f>
        <v>MGI:3040968</v>
      </c>
      <c r="H40" t="str">
        <f>"Clec12a"</f>
        <v>Clec12a</v>
      </c>
      <c r="I40" t="s">
        <v>1880</v>
      </c>
      <c r="J40" t="s">
        <v>2010</v>
      </c>
    </row>
    <row r="41" spans="1:10">
      <c r="A41">
        <v>10593887</v>
      </c>
      <c r="B41">
        <v>9.3732038970863396</v>
      </c>
      <c r="C41">
        <v>6.6735051264729197</v>
      </c>
      <c r="E41" t="str">
        <f>"10593887"</f>
        <v>10593887</v>
      </c>
      <c r="F41" t="str">
        <f t="shared" si="2"/>
        <v>Affy 1.0 ST</v>
      </c>
      <c r="G41" t="str">
        <f>"MGI:1920024"</f>
        <v>MGI:1920024</v>
      </c>
      <c r="H41" t="str">
        <f>"Neil1"</f>
        <v>Neil1</v>
      </c>
      <c r="I41" t="str">
        <f>"nei endonuclease VIII-like 1 (E. coli)"</f>
        <v>nei endonuclease VIII-like 1 (E. coli)</v>
      </c>
      <c r="J41" t="str">
        <f>"protein coding gene"</f>
        <v>protein coding gene</v>
      </c>
    </row>
    <row r="42" spans="1:10">
      <c r="A42">
        <v>10543067</v>
      </c>
      <c r="B42">
        <v>9.2502862826337697</v>
      </c>
      <c r="C42">
        <v>4.7928777381849201</v>
      </c>
      <c r="E42" t="str">
        <f>"10543067"</f>
        <v>10543067</v>
      </c>
      <c r="F42" t="str">
        <f t="shared" si="2"/>
        <v>Affy 1.0 ST</v>
      </c>
      <c r="G42" t="str">
        <f>"MGI:1350929"</f>
        <v>MGI:1350929</v>
      </c>
      <c r="H42" t="str">
        <f>"Asns"</f>
        <v>Asns</v>
      </c>
      <c r="I42" t="str">
        <f>"asparagine synthetase"</f>
        <v>asparagine synthetase</v>
      </c>
      <c r="J42" t="str">
        <f>"protein coding gene"</f>
        <v>protein coding gene</v>
      </c>
    </row>
    <row r="43" spans="1:10">
      <c r="A43">
        <v>10534585</v>
      </c>
      <c r="B43">
        <v>9.09990170558466</v>
      </c>
      <c r="C43">
        <v>2.25750370490915</v>
      </c>
      <c r="E43" t="str">
        <f>"10534585"</f>
        <v>10534585</v>
      </c>
      <c r="F43" t="str">
        <f t="shared" si="2"/>
        <v>Affy 1.0 ST</v>
      </c>
      <c r="G43" t="str">
        <f>"MGI:1345171"</f>
        <v>MGI:1345171</v>
      </c>
      <c r="H43" t="str">
        <f>"Sh2b2"</f>
        <v>Sh2b2</v>
      </c>
      <c r="I43" t="str">
        <f>"SH2B adaptor protein 2"</f>
        <v>SH2B adaptor protein 2</v>
      </c>
      <c r="J43" t="str">
        <f>"protein coding gene"</f>
        <v>protein coding gene</v>
      </c>
    </row>
    <row r="44" spans="1:10">
      <c r="A44">
        <v>10435514</v>
      </c>
      <c r="B44">
        <v>8.6490915162302997</v>
      </c>
      <c r="C44">
        <v>2.5933374265518601</v>
      </c>
      <c r="E44" t="str">
        <f>"10435514"</f>
        <v>10435514</v>
      </c>
      <c r="F44" t="str">
        <f t="shared" si="2"/>
        <v>Affy 1.0 ST</v>
      </c>
      <c r="G44" t="str">
        <f>"MGI:2146574"</f>
        <v>MGI:2146574</v>
      </c>
      <c r="H44" t="str">
        <f>"Ildr1"</f>
        <v>Ildr1</v>
      </c>
      <c r="I44" t="str">
        <f>"immunoglobulin-like domain containing receptor 1"</f>
        <v>immunoglobulin-like domain containing receptor 1</v>
      </c>
      <c r="J44" t="str">
        <f>"protein coding gene"</f>
        <v>protein coding gene</v>
      </c>
    </row>
    <row r="45" spans="1:10">
      <c r="A45">
        <v>10442115</v>
      </c>
      <c r="B45">
        <v>8.5278441503367706</v>
      </c>
      <c r="C45">
        <v>2.23478140146148</v>
      </c>
      <c r="E45" t="str">
        <f>"10442115"</f>
        <v>10442115</v>
      </c>
      <c r="F45" t="str">
        <f t="shared" si="2"/>
        <v>Affy 1.0 ST</v>
      </c>
      <c r="G45" t="str">
        <f>"MGI:3644514"</f>
        <v>MGI:3644514</v>
      </c>
      <c r="H45" t="str">
        <f>"Vmn2r96"</f>
        <v>Vmn2r96</v>
      </c>
      <c r="I45" t="s">
        <v>1692</v>
      </c>
      <c r="J45" t="s">
        <v>2010</v>
      </c>
    </row>
    <row r="46" spans="1:10">
      <c r="A46">
        <v>10427816</v>
      </c>
      <c r="B46">
        <v>8.4339692159869202</v>
      </c>
      <c r="C46">
        <v>3.3109012685236099</v>
      </c>
      <c r="E46" t="str">
        <f>"10427816"</f>
        <v>10427816</v>
      </c>
      <c r="F46" t="str">
        <f t="shared" si="2"/>
        <v>Affy 1.0 ST</v>
      </c>
      <c r="G46" t="str">
        <f>"MGI:1922394"</f>
        <v>MGI:1922394</v>
      </c>
      <c r="H46" t="str">
        <f>"Pdzd2"</f>
        <v>Pdzd2</v>
      </c>
      <c r="I46" t="str">
        <f>"PDZ domain containing 2"</f>
        <v>PDZ domain containing 2</v>
      </c>
      <c r="J46" t="str">
        <f>"protein coding gene"</f>
        <v>protein coding gene</v>
      </c>
    </row>
    <row r="47" spans="1:10">
      <c r="A47">
        <v>10557342</v>
      </c>
      <c r="B47">
        <v>8.3771189287915195</v>
      </c>
      <c r="C47">
        <v>6.2804462143912803</v>
      </c>
      <c r="E47" t="str">
        <f>"10557342"</f>
        <v>10557342</v>
      </c>
      <c r="F47" t="str">
        <f t="shared" si="2"/>
        <v>Affy 1.0 ST</v>
      </c>
      <c r="G47" t="str">
        <f>"MGI:1890475"</f>
        <v>MGI:1890475</v>
      </c>
      <c r="H47" t="str">
        <f>"Il21r"</f>
        <v>Il21r</v>
      </c>
      <c r="I47" t="str">
        <f>"interleukin 21 receptor"</f>
        <v>interleukin 21 receptor</v>
      </c>
      <c r="J47" t="str">
        <f>"protein coding gene"</f>
        <v>protein coding gene</v>
      </c>
    </row>
    <row r="48" spans="1:10">
      <c r="A48">
        <v>10410099</v>
      </c>
      <c r="B48">
        <v>8.0733953623710093</v>
      </c>
      <c r="C48">
        <v>2.5002905973821101</v>
      </c>
      <c r="E48" t="str">
        <f>"10410099"</f>
        <v>10410099</v>
      </c>
      <c r="F48" t="str">
        <f t="shared" si="2"/>
        <v>Affy 1.0 ST</v>
      </c>
      <c r="G48" t="str">
        <f>"MGI:2441808"</f>
        <v>MGI:2441808</v>
      </c>
      <c r="H48" t="str">
        <f>"Cdc14b"</f>
        <v>Cdc14b</v>
      </c>
      <c r="I48" t="str">
        <f>"CDC14 cell division cycle 14 homolog B (S. cerevisiae)"</f>
        <v>CDC14 cell division cycle 14 homolog B (S. cerevisiae)</v>
      </c>
      <c r="J48" t="str">
        <f>"protein coding gene"</f>
        <v>protein coding gene</v>
      </c>
    </row>
    <row r="49" spans="1:10">
      <c r="A49">
        <v>10430818</v>
      </c>
      <c r="B49">
        <v>7.6099723130315402</v>
      </c>
      <c r="C49">
        <v>6.31593149209841</v>
      </c>
      <c r="E49" t="str">
        <f>"10430818"</f>
        <v>10430818</v>
      </c>
      <c r="F49" t="str">
        <f t="shared" si="2"/>
        <v>Affy 1.0 ST</v>
      </c>
      <c r="G49" t="str">
        <f>"MGI:1919299"</f>
        <v>MGI:1919299</v>
      </c>
      <c r="H49" t="str">
        <f>"Tnfrsf13c"</f>
        <v>Tnfrsf13c</v>
      </c>
      <c r="I49" t="s">
        <v>1546</v>
      </c>
      <c r="J49" t="s">
        <v>2010</v>
      </c>
    </row>
    <row r="50" spans="1:10">
      <c r="A50">
        <v>10545101</v>
      </c>
      <c r="B50">
        <v>7.6022242703552596</v>
      </c>
      <c r="C50">
        <v>4.3825755822330104</v>
      </c>
      <c r="E50" t="str">
        <f>"10545101"</f>
        <v>10545101</v>
      </c>
      <c r="F50" t="str">
        <f t="shared" si="2"/>
        <v>Affy 1.0 ST</v>
      </c>
      <c r="G50" t="str">
        <f>"MGI:1859384"</f>
        <v>MGI:1859384</v>
      </c>
      <c r="H50" t="str">
        <f>"Hpgds"</f>
        <v>Hpgds</v>
      </c>
      <c r="I50" t="str">
        <f>"hematopoietic prostaglandin D synthase"</f>
        <v>hematopoietic prostaglandin D synthase</v>
      </c>
      <c r="J50" t="str">
        <f>"protein coding gene"</f>
        <v>protein coding gene</v>
      </c>
    </row>
    <row r="51" spans="1:10">
      <c r="A51">
        <v>10356267</v>
      </c>
      <c r="B51">
        <v>7.5754984155884797</v>
      </c>
      <c r="C51">
        <v>5.3305860958093501</v>
      </c>
      <c r="E51" t="str">
        <f>"10356267"</f>
        <v>10356267</v>
      </c>
      <c r="F51" t="str">
        <f t="shared" si="2"/>
        <v>Affy 1.0 ST</v>
      </c>
      <c r="G51" t="str">
        <f>"MGI:3037746"</f>
        <v>MGI:3037746</v>
      </c>
      <c r="H51" t="str">
        <f>"A530032D15Rik"</f>
        <v>A530032D15Rik</v>
      </c>
      <c r="I51" t="str">
        <f>"RIKEN cDNA A530032D15Rik gene"</f>
        <v>RIKEN cDNA A530032D15Rik gene</v>
      </c>
      <c r="J51" t="str">
        <f>"protein coding gene"</f>
        <v>protein coding gene</v>
      </c>
    </row>
    <row r="52" spans="1:10">
      <c r="A52">
        <v>10566268</v>
      </c>
      <c r="B52">
        <v>7.5164381278430197</v>
      </c>
      <c r="C52">
        <v>0.93786499257616096</v>
      </c>
      <c r="E52" t="str">
        <f>"10566268"</f>
        <v>10566268</v>
      </c>
      <c r="F52" t="str">
        <f t="shared" si="2"/>
        <v>Affy 1.0 ST</v>
      </c>
      <c r="G52" t="str">
        <f>"MGI:96024"</f>
        <v>MGI:96024</v>
      </c>
      <c r="H52" t="str">
        <f>"Hbb-bh1"</f>
        <v>Hbb-bh1</v>
      </c>
      <c r="I52" t="s">
        <v>2160</v>
      </c>
      <c r="J52" t="s">
        <v>2010</v>
      </c>
    </row>
    <row r="53" spans="1:10">
      <c r="A53">
        <v>10545184</v>
      </c>
      <c r="B53">
        <v>7.4918220888830298</v>
      </c>
      <c r="C53">
        <v>4.9450548607343796</v>
      </c>
      <c r="E53" t="str">
        <f>"10545184"</f>
        <v>10545184</v>
      </c>
      <c r="F53" t="str">
        <f>""</f>
        <v/>
      </c>
      <c r="G53" t="str">
        <f>"No associated gene"</f>
        <v>No associated gene</v>
      </c>
    </row>
    <row r="54" spans="1:10">
      <c r="A54">
        <v>10479833</v>
      </c>
      <c r="B54">
        <v>7.4813730429473004</v>
      </c>
      <c r="C54">
        <v>3.08529140595319</v>
      </c>
      <c r="E54" t="str">
        <f>"10479833"</f>
        <v>10479833</v>
      </c>
      <c r="F54" t="str">
        <f t="shared" ref="F54:F93" si="3">"Affy 1.0 ST"</f>
        <v>Affy 1.0 ST</v>
      </c>
      <c r="G54" t="str">
        <f>"MGI:1918898"</f>
        <v>MGI:1918898</v>
      </c>
      <c r="H54" t="str">
        <f>"Optn"</f>
        <v>Optn</v>
      </c>
      <c r="I54" t="str">
        <f>"optineurin"</f>
        <v>optineurin</v>
      </c>
      <c r="J54" t="str">
        <f>"protein coding gene"</f>
        <v>protein coding gene</v>
      </c>
    </row>
    <row r="55" spans="1:10">
      <c r="A55">
        <v>10351667</v>
      </c>
      <c r="B55">
        <v>7.3714470735864204</v>
      </c>
      <c r="C55">
        <v>7.5946420052931698</v>
      </c>
      <c r="E55" t="str">
        <f>"10351667"</f>
        <v>10351667</v>
      </c>
      <c r="F55" t="str">
        <f t="shared" si="3"/>
        <v>Affy 1.0 ST</v>
      </c>
      <c r="G55" t="str">
        <f>"MGI:1351314"</f>
        <v>MGI:1351314</v>
      </c>
      <c r="H55" t="str">
        <f>"Slamf1"</f>
        <v>Slamf1</v>
      </c>
      <c r="I55" t="str">
        <f>"signaling lymphocytic activation molecule family member 1"</f>
        <v>signaling lymphocytic activation molecule family member 1</v>
      </c>
      <c r="J55" t="str">
        <f>"protein coding gene"</f>
        <v>protein coding gene</v>
      </c>
    </row>
    <row r="56" spans="1:10">
      <c r="A56">
        <v>10434806</v>
      </c>
      <c r="B56">
        <v>7.32258904668155</v>
      </c>
      <c r="C56">
        <v>1.1505443145279799</v>
      </c>
      <c r="E56" t="str">
        <f>"10434806"</f>
        <v>10434806</v>
      </c>
      <c r="F56" t="str">
        <f t="shared" si="3"/>
        <v>Affy 1.0 ST</v>
      </c>
      <c r="G56" t="str">
        <f>"MGI:2441849"</f>
        <v>MGI:2441849</v>
      </c>
      <c r="H56" t="str">
        <f>"Lpp"</f>
        <v>Lpp</v>
      </c>
      <c r="I56" t="str">
        <f>"LIM domain containing preferred translocation partner in lipoma"</f>
        <v>LIM domain containing preferred translocation partner in lipoma</v>
      </c>
      <c r="J56" t="str">
        <f>"protein coding gene"</f>
        <v>protein coding gene</v>
      </c>
    </row>
    <row r="57" spans="1:10">
      <c r="A57">
        <v>10427895</v>
      </c>
      <c r="B57">
        <v>7.2621370604562197</v>
      </c>
      <c r="C57">
        <v>1.20490098313376</v>
      </c>
      <c r="E57" t="str">
        <f>"10427895"</f>
        <v>10427895</v>
      </c>
      <c r="F57" t="str">
        <f t="shared" si="3"/>
        <v>Affy 1.0 ST</v>
      </c>
      <c r="G57" t="str">
        <f>"MGI:1917600"</f>
        <v>MGI:1917600</v>
      </c>
      <c r="H57" t="str">
        <f>"Basp1"</f>
        <v>Basp1</v>
      </c>
      <c r="I57" t="s">
        <v>1803</v>
      </c>
      <c r="J57" t="s">
        <v>2010</v>
      </c>
    </row>
    <row r="58" spans="1:10">
      <c r="A58">
        <v>10600936</v>
      </c>
      <c r="B58">
        <v>7.2421473699086398</v>
      </c>
      <c r="C58">
        <v>0.64939139004680602</v>
      </c>
      <c r="E58" t="str">
        <f>"10600936"</f>
        <v>10600936</v>
      </c>
      <c r="F58" t="str">
        <f t="shared" si="3"/>
        <v>Affy 1.0 ST</v>
      </c>
      <c r="G58" t="str">
        <f>"MGI:102708"</f>
        <v>MGI:102708</v>
      </c>
      <c r="H58" t="str">
        <f>"Efnb1"</f>
        <v>Efnb1</v>
      </c>
      <c r="I58" t="str">
        <f>"ephrin B1"</f>
        <v>ephrin B1</v>
      </c>
      <c r="J58" t="str">
        <f t="shared" ref="J58:J66" si="4">"protein coding gene"</f>
        <v>protein coding gene</v>
      </c>
    </row>
    <row r="59" spans="1:10">
      <c r="A59">
        <v>10438738</v>
      </c>
      <c r="B59">
        <v>7.1373654545271998</v>
      </c>
      <c r="C59">
        <v>3.6085607026426798</v>
      </c>
      <c r="E59" t="str">
        <f>"10438738"</f>
        <v>10438738</v>
      </c>
      <c r="F59" t="str">
        <f t="shared" si="3"/>
        <v>Affy 1.0 ST</v>
      </c>
      <c r="G59" t="str">
        <f>"MGI:107187"</f>
        <v>MGI:107187</v>
      </c>
      <c r="H59" t="str">
        <f>"Bcl6"</f>
        <v>Bcl6</v>
      </c>
      <c r="I59" t="str">
        <f>"B-cell leukemia/lymphoma 6"</f>
        <v>B-cell leukemia/lymphoma 6</v>
      </c>
      <c r="J59" t="str">
        <f t="shared" si="4"/>
        <v>protein coding gene</v>
      </c>
    </row>
    <row r="60" spans="1:10">
      <c r="A60">
        <v>10434782</v>
      </c>
      <c r="B60">
        <v>7.0304391612299302</v>
      </c>
      <c r="C60">
        <v>1.3507739194142701</v>
      </c>
      <c r="E60" t="str">
        <f>"10434782"</f>
        <v>10434782</v>
      </c>
      <c r="F60" t="str">
        <f t="shared" si="3"/>
        <v>Affy 1.0 ST</v>
      </c>
      <c r="G60" t="str">
        <f>"MGI:2441849"</f>
        <v>MGI:2441849</v>
      </c>
      <c r="H60" t="str">
        <f>"Lpp"</f>
        <v>Lpp</v>
      </c>
      <c r="I60" t="str">
        <f>"LIM domain containing preferred translocation partner in lipoma"</f>
        <v>LIM domain containing preferred translocation partner in lipoma</v>
      </c>
      <c r="J60" t="str">
        <f t="shared" si="4"/>
        <v>protein coding gene</v>
      </c>
    </row>
    <row r="61" spans="1:10">
      <c r="A61">
        <v>10596222</v>
      </c>
      <c r="B61">
        <v>6.9892830839929099</v>
      </c>
      <c r="C61">
        <v>1.2507620775713999</v>
      </c>
      <c r="E61" t="str">
        <f>"10596222"</f>
        <v>10596222</v>
      </c>
      <c r="F61" t="str">
        <f t="shared" si="3"/>
        <v>Affy 1.0 ST</v>
      </c>
      <c r="G61" t="str">
        <f>"MGI:2181676"</f>
        <v>MGI:2181676</v>
      </c>
      <c r="H61" t="str">
        <f>"Ccrl1"</f>
        <v>Ccrl1</v>
      </c>
      <c r="I61" t="str">
        <f>"chemokine (C-C motif) receptor-like 1"</f>
        <v>chemokine (C-C motif) receptor-like 1</v>
      </c>
      <c r="J61" t="str">
        <f t="shared" si="4"/>
        <v>protein coding gene</v>
      </c>
    </row>
    <row r="62" spans="1:10">
      <c r="A62">
        <v>10476648</v>
      </c>
      <c r="B62">
        <v>6.9535490525628898</v>
      </c>
      <c r="C62">
        <v>2.9870352950713599</v>
      </c>
      <c r="E62" t="str">
        <f>"10476648"</f>
        <v>10476648</v>
      </c>
      <c r="F62" t="str">
        <f t="shared" si="3"/>
        <v>Affy 1.0 ST</v>
      </c>
      <c r="G62" t="str">
        <f>"MGI:1929270"</f>
        <v>MGI:1929270</v>
      </c>
      <c r="H62" t="str">
        <f>"Dstn"</f>
        <v>Dstn</v>
      </c>
      <c r="I62" t="str">
        <f>"destrin"</f>
        <v>destrin</v>
      </c>
      <c r="J62" t="str">
        <f t="shared" si="4"/>
        <v>protein coding gene</v>
      </c>
    </row>
    <row r="63" spans="1:10">
      <c r="A63">
        <v>10425890</v>
      </c>
      <c r="B63">
        <v>6.9422407829186303</v>
      </c>
      <c r="C63">
        <v>0.55990008577038097</v>
      </c>
      <c r="E63" t="str">
        <f>"10425890"</f>
        <v>10425890</v>
      </c>
      <c r="F63" t="str">
        <f t="shared" si="3"/>
        <v>Affy 1.0 ST</v>
      </c>
      <c r="G63" t="str">
        <f>"MGI:1920417"</f>
        <v>MGI:1920417</v>
      </c>
      <c r="H63" t="str">
        <f>"Arhgap8"</f>
        <v>Arhgap8</v>
      </c>
      <c r="I63" t="str">
        <f>"Rho GTPase activating protein 8"</f>
        <v>Rho GTPase activating protein 8</v>
      </c>
      <c r="J63" t="str">
        <f t="shared" si="4"/>
        <v>protein coding gene</v>
      </c>
    </row>
    <row r="64" spans="1:10">
      <c r="A64">
        <v>10591412</v>
      </c>
      <c r="B64">
        <v>6.8925546709953496</v>
      </c>
      <c r="C64">
        <v>1.17863985334967</v>
      </c>
      <c r="E64" t="str">
        <f>"10591412"</f>
        <v>10591412</v>
      </c>
      <c r="F64" t="str">
        <f t="shared" si="3"/>
        <v>Affy 1.0 ST</v>
      </c>
      <c r="G64" t="str">
        <f>"MGI:99569"</f>
        <v>MGI:99569</v>
      </c>
      <c r="H64" t="str">
        <f>"S1pr2"</f>
        <v>S1pr2</v>
      </c>
      <c r="I64" t="str">
        <f>"sphingosine-1-phosphate receptor 2"</f>
        <v>sphingosine-1-phosphate receptor 2</v>
      </c>
      <c r="J64" t="str">
        <f t="shared" si="4"/>
        <v>protein coding gene</v>
      </c>
    </row>
    <row r="65" spans="1:10">
      <c r="A65">
        <v>10489391</v>
      </c>
      <c r="B65">
        <v>6.3365775849319999</v>
      </c>
      <c r="C65">
        <v>4.1052523800437797</v>
      </c>
      <c r="E65" t="str">
        <f>"10489391"</f>
        <v>10489391</v>
      </c>
      <c r="F65" t="str">
        <f t="shared" si="3"/>
        <v>Affy 1.0 ST</v>
      </c>
      <c r="G65" t="str">
        <f>"MGI:87916"</f>
        <v>MGI:87916</v>
      </c>
      <c r="H65" t="str">
        <f>"Ada"</f>
        <v>Ada</v>
      </c>
      <c r="I65" t="str">
        <f>"adenosine deaminase"</f>
        <v>adenosine deaminase</v>
      </c>
      <c r="J65" t="str">
        <f t="shared" si="4"/>
        <v>protein coding gene</v>
      </c>
    </row>
    <row r="66" spans="1:10">
      <c r="A66">
        <v>10560624</v>
      </c>
      <c r="B66">
        <v>6.1402734998393003</v>
      </c>
      <c r="C66">
        <v>3.80888269329796</v>
      </c>
      <c r="E66" t="str">
        <f>"10560624"</f>
        <v>10560624</v>
      </c>
      <c r="F66" t="str">
        <f t="shared" si="3"/>
        <v>Affy 1.0 ST</v>
      </c>
      <c r="G66" t="str">
        <f>"MGI:88057"</f>
        <v>MGI:88057</v>
      </c>
      <c r="H66" t="str">
        <f>"Apoe"</f>
        <v>Apoe</v>
      </c>
      <c r="I66" t="str">
        <f>"apolipoprotein E"</f>
        <v>apolipoprotein E</v>
      </c>
      <c r="J66" t="str">
        <f t="shared" si="4"/>
        <v>protein coding gene</v>
      </c>
    </row>
    <row r="67" spans="1:10">
      <c r="A67">
        <v>10403009</v>
      </c>
      <c r="B67">
        <v>6.1207073772296603</v>
      </c>
      <c r="C67">
        <v>6.5377042450158598</v>
      </c>
      <c r="E67" t="str">
        <f>"10403009"</f>
        <v>10403009</v>
      </c>
      <c r="F67" t="str">
        <f t="shared" si="3"/>
        <v>Affy 1.0 ST</v>
      </c>
      <c r="G67" t="str">
        <f>"MGI:3645298"</f>
        <v>MGI:3645298</v>
      </c>
      <c r="H67" t="str">
        <f>"Ighv3-8"</f>
        <v>Ighv3-8</v>
      </c>
      <c r="I67" t="str">
        <f>"immunoglobulin heavy variable V3-8"</f>
        <v>immunoglobulin heavy variable V3-8</v>
      </c>
      <c r="J67" t="str">
        <f>"gene segment"</f>
        <v>gene segment</v>
      </c>
    </row>
    <row r="68" spans="1:10">
      <c r="A68">
        <v>10576034</v>
      </c>
      <c r="B68">
        <v>6.0543842998208799</v>
      </c>
      <c r="C68">
        <v>7.1784329789222996</v>
      </c>
      <c r="E68" t="str">
        <f>"10576034"</f>
        <v>10576034</v>
      </c>
      <c r="F68" t="str">
        <f t="shared" si="3"/>
        <v>Affy 1.0 ST</v>
      </c>
      <c r="G68" t="str">
        <f>"MGI:96395"</f>
        <v>MGI:96395</v>
      </c>
      <c r="H68" t="str">
        <f>"Irf8"</f>
        <v>Irf8</v>
      </c>
      <c r="I68" t="str">
        <f>"interferon regulatory factor 8"</f>
        <v>interferon regulatory factor 8</v>
      </c>
      <c r="J68" t="str">
        <f>"protein coding gene"</f>
        <v>protein coding gene</v>
      </c>
    </row>
    <row r="69" spans="1:10">
      <c r="A69">
        <v>10425880</v>
      </c>
      <c r="B69">
        <v>6.0198837544646997</v>
      </c>
      <c r="C69">
        <v>4.5305324274215799</v>
      </c>
      <c r="E69" t="str">
        <f>"10425880"</f>
        <v>10425880</v>
      </c>
      <c r="F69" t="str">
        <f t="shared" si="3"/>
        <v>Affy 1.0 ST</v>
      </c>
      <c r="G69" t="str">
        <f>"MGI:1924714"</f>
        <v>MGI:1924714</v>
      </c>
      <c r="H69" t="str">
        <f>"Prr5"</f>
        <v>Prr5</v>
      </c>
      <c r="I69" t="str">
        <f>"proline rich 5 (renal)"</f>
        <v>proline rich 5 (renal)</v>
      </c>
      <c r="J69" t="str">
        <f>"protein coding gene"</f>
        <v>protein coding gene</v>
      </c>
    </row>
    <row r="70" spans="1:10">
      <c r="A70">
        <v>10547621</v>
      </c>
      <c r="B70">
        <v>5.9651526033367999</v>
      </c>
      <c r="C70">
        <v>6.4085102388308997</v>
      </c>
      <c r="E70" t="str">
        <f>"10547621"</f>
        <v>10547621</v>
      </c>
      <c r="F70" t="str">
        <f t="shared" si="3"/>
        <v>Affy 1.0 ST</v>
      </c>
      <c r="G70" t="str">
        <f>"MGI:103298"</f>
        <v>MGI:103298</v>
      </c>
      <c r="H70" t="str">
        <f>"Apobec1"</f>
        <v>Apobec1</v>
      </c>
      <c r="I70" t="s">
        <v>1774</v>
      </c>
      <c r="J70" t="s">
        <v>2010</v>
      </c>
    </row>
    <row r="71" spans="1:10">
      <c r="A71">
        <v>10345546</v>
      </c>
      <c r="B71">
        <v>5.9355476630623798</v>
      </c>
      <c r="C71">
        <v>0.40381169158555102</v>
      </c>
      <c r="E71" t="str">
        <f>"10345546"</f>
        <v>10345546</v>
      </c>
      <c r="F71" t="str">
        <f t="shared" si="3"/>
        <v>Affy 1.0 ST</v>
      </c>
      <c r="G71" t="str">
        <f>"MGI:1918103"</f>
        <v>MGI:1918103</v>
      </c>
      <c r="H71" t="str">
        <f>"Vwa3b"</f>
        <v>Vwa3b</v>
      </c>
      <c r="I71" t="str">
        <f>"von Willebrand factor A domain containing 3B"</f>
        <v>von Willebrand factor A domain containing 3B</v>
      </c>
      <c r="J71" t="str">
        <f>"protein coding gene"</f>
        <v>protein coding gene</v>
      </c>
    </row>
    <row r="72" spans="1:10">
      <c r="A72">
        <v>10344725</v>
      </c>
      <c r="B72">
        <v>5.9193098490610696</v>
      </c>
      <c r="C72">
        <v>0.34049836525807098</v>
      </c>
      <c r="E72" t="str">
        <f>"10344725"</f>
        <v>10344725</v>
      </c>
      <c r="F72" t="str">
        <f t="shared" si="3"/>
        <v>Affy 1.0 ST</v>
      </c>
      <c r="G72" t="str">
        <f>"MGI:1923437"</f>
        <v>MGI:1923437</v>
      </c>
      <c r="H72" t="str">
        <f>"Adhfe1"</f>
        <v>Adhfe1</v>
      </c>
      <c r="I72" t="s">
        <v>1586</v>
      </c>
      <c r="J72" t="s">
        <v>2010</v>
      </c>
    </row>
    <row r="73" spans="1:10">
      <c r="A73">
        <v>10454286</v>
      </c>
      <c r="B73">
        <v>5.8867235212652602</v>
      </c>
      <c r="C73">
        <v>3.86737162298913</v>
      </c>
      <c r="E73" t="str">
        <f>"10454286"</f>
        <v>10454286</v>
      </c>
      <c r="F73" t="str">
        <f t="shared" si="3"/>
        <v>Affy 1.0 ST</v>
      </c>
      <c r="G73" t="str">
        <f>"MGI:106271"</f>
        <v>MGI:106271</v>
      </c>
      <c r="H73" t="str">
        <f>"Mapre2"</f>
        <v>Mapre2</v>
      </c>
      <c r="I73" t="s">
        <v>1402</v>
      </c>
      <c r="J73" t="s">
        <v>2010</v>
      </c>
    </row>
    <row r="74" spans="1:10">
      <c r="A74">
        <v>10527940</v>
      </c>
      <c r="B74">
        <v>5.8791875211801097</v>
      </c>
      <c r="C74">
        <v>0.27379970346459698</v>
      </c>
      <c r="E74" t="str">
        <f>"10527940"</f>
        <v>10527940</v>
      </c>
      <c r="F74" t="str">
        <f t="shared" si="3"/>
        <v>Affy 1.0 ST</v>
      </c>
      <c r="G74" t="str">
        <f>"MGI:894318"</f>
        <v>MGI:894318</v>
      </c>
      <c r="H74" t="str">
        <f>"Cdk14"</f>
        <v>Cdk14</v>
      </c>
      <c r="I74" t="str">
        <f>"cyclin-dependent kinase 14"</f>
        <v>cyclin-dependent kinase 14</v>
      </c>
      <c r="J74" t="str">
        <f t="shared" ref="J74:J86" si="5">"protein coding gene"</f>
        <v>protein coding gene</v>
      </c>
    </row>
    <row r="75" spans="1:10">
      <c r="A75">
        <v>10406254</v>
      </c>
      <c r="B75">
        <v>5.7753922588689601</v>
      </c>
      <c r="C75">
        <v>4.1813924835248404</v>
      </c>
      <c r="E75" t="str">
        <f>"10406254"</f>
        <v>10406254</v>
      </c>
      <c r="F75" t="str">
        <f t="shared" si="3"/>
        <v>Affy 1.0 ST</v>
      </c>
      <c r="G75" t="str">
        <f>"MGI:2183438"</f>
        <v>MGI:2183438</v>
      </c>
      <c r="H75" t="str">
        <f>"Ell2"</f>
        <v>Ell2</v>
      </c>
      <c r="I75" t="str">
        <f>"elongation factor RNA polymerase II 2"</f>
        <v>elongation factor RNA polymerase II 2</v>
      </c>
      <c r="J75" t="str">
        <f t="shared" si="5"/>
        <v>protein coding gene</v>
      </c>
    </row>
    <row r="76" spans="1:10">
      <c r="A76">
        <v>10400748</v>
      </c>
      <c r="B76">
        <v>5.7556453769851696</v>
      </c>
      <c r="C76">
        <v>1.2543351015638999</v>
      </c>
      <c r="E76" t="str">
        <f>"10400748"</f>
        <v>10400748</v>
      </c>
      <c r="F76" t="str">
        <f t="shared" si="3"/>
        <v>Affy 1.0 ST</v>
      </c>
      <c r="G76" t="str">
        <f>"MGI:1918341"</f>
        <v>MGI:1918341</v>
      </c>
      <c r="H76" t="str">
        <f>"Cdkl1"</f>
        <v>Cdkl1</v>
      </c>
      <c r="I76" t="str">
        <f>"cyclin-dependent kinase-like 1 (CDC2-related kinase)"</f>
        <v>cyclin-dependent kinase-like 1 (CDC2-related kinase)</v>
      </c>
      <c r="J76" t="str">
        <f t="shared" si="5"/>
        <v>protein coding gene</v>
      </c>
    </row>
    <row r="77" spans="1:10">
      <c r="A77">
        <v>10508392</v>
      </c>
      <c r="B77">
        <v>5.7325069590359297</v>
      </c>
      <c r="C77">
        <v>3.3212923026274099</v>
      </c>
      <c r="E77" t="str">
        <f>"10508392"</f>
        <v>10508392</v>
      </c>
      <c r="F77" t="str">
        <f t="shared" si="3"/>
        <v>Affy 1.0 ST</v>
      </c>
      <c r="G77" t="str">
        <f>"MGI:1922484"</f>
        <v>MGI:1922484</v>
      </c>
      <c r="H77" t="str">
        <f>"Rnf19b"</f>
        <v>Rnf19b</v>
      </c>
      <c r="I77" t="str">
        <f>"ring finger protein 19B"</f>
        <v>ring finger protein 19B</v>
      </c>
      <c r="J77" t="str">
        <f t="shared" si="5"/>
        <v>protein coding gene</v>
      </c>
    </row>
    <row r="78" spans="1:10">
      <c r="A78">
        <v>10418842</v>
      </c>
      <c r="B78">
        <v>5.7239225016707698</v>
      </c>
      <c r="C78">
        <v>0.272681228322112</v>
      </c>
      <c r="E78" t="str">
        <f>"10418842"</f>
        <v>10418842</v>
      </c>
      <c r="F78" t="str">
        <f t="shared" si="3"/>
        <v>Affy 1.0 ST</v>
      </c>
      <c r="G78" t="str">
        <f>"MGI:3588196"</f>
        <v>MGI:3588196</v>
      </c>
      <c r="H78" t="str">
        <f>"3425401B19Rik"</f>
        <v>3425401B19Rik</v>
      </c>
      <c r="I78" t="str">
        <f>"RIKEN cDNA 3425401B19 gene"</f>
        <v>RIKEN cDNA 3425401B19 gene</v>
      </c>
      <c r="J78" t="str">
        <f t="shared" si="5"/>
        <v>protein coding gene</v>
      </c>
    </row>
    <row r="79" spans="1:10">
      <c r="A79">
        <v>10416800</v>
      </c>
      <c r="B79">
        <v>5.7009095817900599</v>
      </c>
      <c r="C79">
        <v>1.1701609435048601</v>
      </c>
      <c r="E79" t="str">
        <f>"10416800"</f>
        <v>10416800</v>
      </c>
      <c r="F79" t="str">
        <f t="shared" si="3"/>
        <v>Affy 1.0 ST</v>
      </c>
      <c r="G79" t="str">
        <f>"MGI:1353586"</f>
        <v>MGI:1353586</v>
      </c>
      <c r="H79" t="str">
        <f>"Lmo7"</f>
        <v>Lmo7</v>
      </c>
      <c r="I79" t="str">
        <f>"LIM domain only 7"</f>
        <v>LIM domain only 7</v>
      </c>
      <c r="J79" t="str">
        <f t="shared" si="5"/>
        <v>protein coding gene</v>
      </c>
    </row>
    <row r="80" spans="1:10">
      <c r="A80">
        <v>10450501</v>
      </c>
      <c r="B80">
        <v>5.6228639799915703</v>
      </c>
      <c r="C80">
        <v>3.1429581016649601</v>
      </c>
      <c r="E80" t="str">
        <f>"10450501"</f>
        <v>10450501</v>
      </c>
      <c r="F80" t="str">
        <f t="shared" si="3"/>
        <v>Affy 1.0 ST</v>
      </c>
      <c r="G80" t="str">
        <f>"MGI:104798"</f>
        <v>MGI:104798</v>
      </c>
      <c r="H80" t="str">
        <f>"Tnf"</f>
        <v>Tnf</v>
      </c>
      <c r="I80" t="str">
        <f>"tumor necrosis factor"</f>
        <v>tumor necrosis factor</v>
      </c>
      <c r="J80" t="str">
        <f t="shared" si="5"/>
        <v>protein coding gene</v>
      </c>
    </row>
    <row r="81" spans="1:10">
      <c r="A81">
        <v>10601328</v>
      </c>
      <c r="B81">
        <v>5.5872826750201998</v>
      </c>
      <c r="C81">
        <v>2.07247213598948</v>
      </c>
      <c r="E81" t="str">
        <f>"10601328"</f>
        <v>10601328</v>
      </c>
      <c r="F81" t="str">
        <f t="shared" si="3"/>
        <v>Affy 1.0 ST</v>
      </c>
      <c r="G81" t="str">
        <f>"MGI:2685620"</f>
        <v>MGI:2685620</v>
      </c>
      <c r="H81" t="str">
        <f>"Uprt"</f>
        <v>Uprt</v>
      </c>
      <c r="I81" t="str">
        <f>"uracil phosphoribosyltransferase (FUR1) homolog (S. cerevisiae)"</f>
        <v>uracil phosphoribosyltransferase (FUR1) homolog (S. cerevisiae)</v>
      </c>
      <c r="J81" t="str">
        <f t="shared" si="5"/>
        <v>protein coding gene</v>
      </c>
    </row>
    <row r="82" spans="1:10">
      <c r="A82">
        <v>10390780</v>
      </c>
      <c r="B82">
        <v>5.5423591551911002</v>
      </c>
      <c r="C82">
        <v>1.37759193726617</v>
      </c>
      <c r="E82" t="str">
        <f>"10390780"</f>
        <v>10390780</v>
      </c>
      <c r="F82" t="str">
        <f t="shared" si="3"/>
        <v>Affy 1.0 ST</v>
      </c>
      <c r="G82" t="str">
        <f>"MGI:2442728"</f>
        <v>MGI:2442728</v>
      </c>
      <c r="H82" t="str">
        <f>"Krt222"</f>
        <v>Krt222</v>
      </c>
      <c r="I82" t="str">
        <f>"keratin 222"</f>
        <v>keratin 222</v>
      </c>
      <c r="J82" t="str">
        <f t="shared" si="5"/>
        <v>protein coding gene</v>
      </c>
    </row>
    <row r="83" spans="1:10">
      <c r="A83">
        <v>10525365</v>
      </c>
      <c r="B83">
        <v>5.52637329438428</v>
      </c>
      <c r="C83">
        <v>5.61979340570005</v>
      </c>
      <c r="E83" t="str">
        <f>"10525365"</f>
        <v>10525365</v>
      </c>
      <c r="F83" t="str">
        <f t="shared" si="3"/>
        <v>Affy 1.0 ST</v>
      </c>
      <c r="G83" t="str">
        <f>"MGI:1921346"</f>
        <v>MGI:1921346</v>
      </c>
      <c r="H83" t="str">
        <f>"Hvcn1"</f>
        <v>Hvcn1</v>
      </c>
      <c r="I83" t="str">
        <f>"hydrogen voltage-gated channel 1"</f>
        <v>hydrogen voltage-gated channel 1</v>
      </c>
      <c r="J83" t="str">
        <f t="shared" si="5"/>
        <v>protein coding gene</v>
      </c>
    </row>
    <row r="84" spans="1:10">
      <c r="A84">
        <v>10587503</v>
      </c>
      <c r="B84">
        <v>5.5180605527021296</v>
      </c>
      <c r="C84">
        <v>0.574569125214204</v>
      </c>
      <c r="E84" t="str">
        <f>"10587503"</f>
        <v>10587503</v>
      </c>
      <c r="F84" t="str">
        <f t="shared" si="3"/>
        <v>Affy 1.0 ST</v>
      </c>
      <c r="G84" t="str">
        <f>"MGI:1915350"</f>
        <v>MGI:1915350</v>
      </c>
      <c r="H84" t="str">
        <f>"Sh3bgrl2"</f>
        <v>Sh3bgrl2</v>
      </c>
      <c r="I84" t="str">
        <f>"SH3 domain binding glutamic acid-rich protein like 2"</f>
        <v>SH3 domain binding glutamic acid-rich protein like 2</v>
      </c>
      <c r="J84" t="str">
        <f t="shared" si="5"/>
        <v>protein coding gene</v>
      </c>
    </row>
    <row r="85" spans="1:10">
      <c r="A85">
        <v>10361381</v>
      </c>
      <c r="B85">
        <v>5.4560318363251703</v>
      </c>
      <c r="C85">
        <v>0.85125814108793696</v>
      </c>
      <c r="E85" t="str">
        <f>"10361381"</f>
        <v>10361381</v>
      </c>
      <c r="F85" t="str">
        <f t="shared" si="3"/>
        <v>Affy 1.0 ST</v>
      </c>
      <c r="G85" t="str">
        <f>"MGI:1927152"</f>
        <v>MGI:1927152</v>
      </c>
      <c r="H85" t="str">
        <f>"Syne1"</f>
        <v>Syne1</v>
      </c>
      <c r="I85" t="str">
        <f>"synaptic nuclear envelope 1"</f>
        <v>synaptic nuclear envelope 1</v>
      </c>
      <c r="J85" t="str">
        <f t="shared" si="5"/>
        <v>protein coding gene</v>
      </c>
    </row>
    <row r="86" spans="1:10">
      <c r="A86">
        <v>10434802</v>
      </c>
      <c r="B86">
        <v>5.3946832780451599</v>
      </c>
      <c r="C86">
        <v>0.37484486198384098</v>
      </c>
      <c r="E86" t="str">
        <f>"10434802"</f>
        <v>10434802</v>
      </c>
      <c r="F86" t="str">
        <f t="shared" si="3"/>
        <v>Affy 1.0 ST</v>
      </c>
      <c r="G86" t="str">
        <f>"MGI:2441849"</f>
        <v>MGI:2441849</v>
      </c>
      <c r="H86" t="str">
        <f>"Lpp"</f>
        <v>Lpp</v>
      </c>
      <c r="I86" t="str">
        <f>"LIM domain containing preferred translocation partner in lipoma"</f>
        <v>LIM domain containing preferred translocation partner in lipoma</v>
      </c>
      <c r="J86" t="str">
        <f t="shared" si="5"/>
        <v>protein coding gene</v>
      </c>
    </row>
    <row r="87" spans="1:10">
      <c r="A87">
        <v>10500610</v>
      </c>
      <c r="B87">
        <v>5.3659804008599901</v>
      </c>
      <c r="C87">
        <v>0.96447427162769395</v>
      </c>
      <c r="E87" t="str">
        <f>"10500610"</f>
        <v>10500610</v>
      </c>
      <c r="F87" t="str">
        <f t="shared" si="3"/>
        <v>Affy 1.0 ST</v>
      </c>
      <c r="G87" t="str">
        <f>"MGI:1921895"</f>
        <v>MGI:1921895</v>
      </c>
      <c r="H87" t="str">
        <f>"Fam46c"</f>
        <v>Fam46c</v>
      </c>
      <c r="I87" t="s">
        <v>1340</v>
      </c>
      <c r="J87" t="s">
        <v>2010</v>
      </c>
    </row>
    <row r="88" spans="1:10">
      <c r="A88">
        <v>10461765</v>
      </c>
      <c r="B88">
        <v>5.3455868034843501</v>
      </c>
      <c r="C88">
        <v>3.38354551951192</v>
      </c>
      <c r="E88" t="str">
        <f>"10461765"</f>
        <v>10461765</v>
      </c>
      <c r="F88" t="str">
        <f t="shared" si="3"/>
        <v>Affy 1.0 ST</v>
      </c>
      <c r="G88" t="str">
        <f>"MGI:2147677"</f>
        <v>MGI:2147677</v>
      </c>
      <c r="H88" t="str">
        <f>"Lpxn"</f>
        <v>Lpxn</v>
      </c>
      <c r="I88" t="str">
        <f>"leupaxin"</f>
        <v>leupaxin</v>
      </c>
      <c r="J88" t="str">
        <f>"protein coding gene"</f>
        <v>protein coding gene</v>
      </c>
    </row>
    <row r="89" spans="1:10">
      <c r="A89">
        <v>10353272</v>
      </c>
      <c r="B89">
        <v>5.3432493133004604</v>
      </c>
      <c r="C89">
        <v>2.5991583973907</v>
      </c>
      <c r="E89" t="str">
        <f>"10353272"</f>
        <v>10353272</v>
      </c>
      <c r="F89" t="str">
        <f t="shared" si="3"/>
        <v>Affy 1.0 ST</v>
      </c>
      <c r="G89" t="str">
        <f>"MGI:1352508"</f>
        <v>MGI:1352508</v>
      </c>
      <c r="H89" t="str">
        <f>"Stau2"</f>
        <v>Stau2</v>
      </c>
      <c r="I89" t="str">
        <f>"staufen (RNA binding protein) homolog 2 (Drosophila)"</f>
        <v>staufen (RNA binding protein) homolog 2 (Drosophila)</v>
      </c>
      <c r="J89" t="str">
        <f>"protein coding gene"</f>
        <v>protein coding gene</v>
      </c>
    </row>
    <row r="90" spans="1:10">
      <c r="A90">
        <v>10364593</v>
      </c>
      <c r="B90">
        <v>5.32098678967568</v>
      </c>
      <c r="C90">
        <v>3.37537253068357</v>
      </c>
      <c r="E90" t="str">
        <f>"10364593"</f>
        <v>10364593</v>
      </c>
      <c r="F90" t="str">
        <f t="shared" si="3"/>
        <v>Affy 1.0 ST</v>
      </c>
      <c r="G90" t="str">
        <f>"MGI:105093"</f>
        <v>MGI:105093</v>
      </c>
      <c r="H90" t="str">
        <f>"Cnn2"</f>
        <v>Cnn2</v>
      </c>
      <c r="I90" t="str">
        <f>"calponin 2"</f>
        <v>calponin 2</v>
      </c>
      <c r="J90" t="str">
        <f>"protein coding gene"</f>
        <v>protein coding gene</v>
      </c>
    </row>
    <row r="91" spans="1:10">
      <c r="A91">
        <v>10408741</v>
      </c>
      <c r="B91">
        <v>5.3093841731506197</v>
      </c>
      <c r="C91">
        <v>2.53473358059358</v>
      </c>
      <c r="E91" t="str">
        <f>"10408741"</f>
        <v>10408741</v>
      </c>
      <c r="F91" t="str">
        <f t="shared" si="3"/>
        <v>Affy 1.0 ST</v>
      </c>
      <c r="G91" t="str">
        <f>"MGI:2145316"</f>
        <v>MGI:2145316</v>
      </c>
      <c r="H91" t="str">
        <f>"Txndc5"</f>
        <v>Txndc5</v>
      </c>
      <c r="I91" t="str">
        <f>"thioredoxin domain containing 5"</f>
        <v>thioredoxin domain containing 5</v>
      </c>
      <c r="J91" t="str">
        <f>"protein coding gene"</f>
        <v>protein coding gene</v>
      </c>
    </row>
    <row r="92" spans="1:10">
      <c r="A92">
        <v>10365845</v>
      </c>
      <c r="B92">
        <v>5.2632409861552798</v>
      </c>
      <c r="C92">
        <v>1.91387202392329</v>
      </c>
      <c r="E92" t="str">
        <f>"10365845"</f>
        <v>10365845</v>
      </c>
      <c r="F92" t="str">
        <f t="shared" si="3"/>
        <v>Affy 1.0 ST</v>
      </c>
      <c r="G92" t="str">
        <f>"MGI:1261419"</f>
        <v>MGI:1261419</v>
      </c>
      <c r="H92" t="str">
        <f>"Fgd6"</f>
        <v>Fgd6</v>
      </c>
      <c r="I92" t="s">
        <v>1419</v>
      </c>
      <c r="J92" t="s">
        <v>2010</v>
      </c>
    </row>
    <row r="93" spans="1:10">
      <c r="A93">
        <v>10421697</v>
      </c>
      <c r="B93">
        <v>5.2366617602009198</v>
      </c>
      <c r="C93">
        <v>3.0821051187146402</v>
      </c>
      <c r="E93" t="str">
        <f>"10421697"</f>
        <v>10421697</v>
      </c>
      <c r="F93" t="str">
        <f t="shared" si="3"/>
        <v>Affy 1.0 ST</v>
      </c>
      <c r="G93" t="str">
        <f>"MGI:2445077"</f>
        <v>MGI:2445077</v>
      </c>
      <c r="H93" t="str">
        <f>"9030625A04Rik"</f>
        <v>9030625A04Rik</v>
      </c>
      <c r="I93" t="str">
        <f>"RIKEN cDNA 9030625A04 gene"</f>
        <v>RIKEN cDNA 9030625A04 gene</v>
      </c>
      <c r="J93" t="str">
        <f>"protein coding gene"</f>
        <v>protein coding gene</v>
      </c>
    </row>
    <row r="94" spans="1:10">
      <c r="A94">
        <v>10395908</v>
      </c>
      <c r="B94">
        <v>5.2191479199755397</v>
      </c>
      <c r="C94">
        <v>1.9425674219950599</v>
      </c>
      <c r="E94" t="str">
        <f>"10395908"</f>
        <v>10395908</v>
      </c>
      <c r="F94" t="str">
        <f>""</f>
        <v/>
      </c>
      <c r="G94" t="str">
        <f>"No associated gene"</f>
        <v>No associated gene</v>
      </c>
    </row>
    <row r="95" spans="1:10">
      <c r="A95">
        <v>10544660</v>
      </c>
      <c r="B95">
        <v>5.1696123306163502</v>
      </c>
      <c r="C95">
        <v>1.3741056867466599</v>
      </c>
      <c r="E95" t="str">
        <f>"10544660"</f>
        <v>10544660</v>
      </c>
      <c r="F95" t="str">
        <f t="shared" ref="F95:F101" si="6">"Affy 1.0 ST"</f>
        <v>Affy 1.0 ST</v>
      </c>
      <c r="G95" t="str">
        <f>"MGI:1918970"</f>
        <v>MGI:1918970</v>
      </c>
      <c r="H95" t="str">
        <f>"Osbpl3"</f>
        <v>Osbpl3</v>
      </c>
      <c r="I95" t="str">
        <f>"oxysterol binding protein-like 3"</f>
        <v>oxysterol binding protein-like 3</v>
      </c>
      <c r="J95" t="str">
        <f>"protein coding gene"</f>
        <v>protein coding gene</v>
      </c>
    </row>
    <row r="96" spans="1:10">
      <c r="A96">
        <v>10566254</v>
      </c>
      <c r="B96">
        <v>5.0823887028537396</v>
      </c>
      <c r="C96">
        <v>1.6377137548044101</v>
      </c>
      <c r="E96" t="str">
        <f>"10566254"</f>
        <v>10566254</v>
      </c>
      <c r="F96" t="str">
        <f t="shared" si="6"/>
        <v>Affy 1.0 ST</v>
      </c>
      <c r="G96" t="str">
        <f>"MGI:96021"</f>
        <v>MGI:96021</v>
      </c>
      <c r="H96" t="str">
        <f>"Hbb-b1"</f>
        <v>Hbb-b1</v>
      </c>
      <c r="I96" t="s">
        <v>1246</v>
      </c>
      <c r="J96" t="s">
        <v>2010</v>
      </c>
    </row>
    <row r="97" spans="1:10">
      <c r="A97">
        <v>10545205</v>
      </c>
      <c r="B97">
        <v>5.0462468542633898</v>
      </c>
      <c r="C97">
        <v>2.5209836090126099</v>
      </c>
      <c r="E97" t="str">
        <f>"10545205"</f>
        <v>10545205</v>
      </c>
      <c r="F97" t="str">
        <f t="shared" si="6"/>
        <v>Affy 1.0 ST</v>
      </c>
      <c r="G97" t="str">
        <f>"MGI:2686264"</f>
        <v>MGI:2686264</v>
      </c>
      <c r="H97" t="str">
        <f>"Igkv4-57-1"</f>
        <v>Igkv4-57-1</v>
      </c>
      <c r="I97" t="str">
        <f>"immunoglobulin kappa variable 4-57-1"</f>
        <v>immunoglobulin kappa variable 4-57-1</v>
      </c>
      <c r="J97" t="str">
        <f>"gene segment"</f>
        <v>gene segment</v>
      </c>
    </row>
    <row r="98" spans="1:10">
      <c r="A98">
        <v>10423333</v>
      </c>
      <c r="B98">
        <v>5.0420224418825299</v>
      </c>
      <c r="C98">
        <v>4.3821572226594103</v>
      </c>
      <c r="E98" t="str">
        <f>"10423333"</f>
        <v>10423333</v>
      </c>
      <c r="F98" t="str">
        <f t="shared" si="6"/>
        <v>Affy 1.0 ST</v>
      </c>
      <c r="G98" t="str">
        <f>"MGI:1913520"</f>
        <v>MGI:1913520</v>
      </c>
      <c r="H98" t="str">
        <f>"Fam134b"</f>
        <v>Fam134b</v>
      </c>
      <c r="I98" t="s">
        <v>1368</v>
      </c>
      <c r="J98" t="s">
        <v>2010</v>
      </c>
    </row>
    <row r="99" spans="1:10">
      <c r="A99">
        <v>10530536</v>
      </c>
      <c r="B99">
        <v>5.00179069434457</v>
      </c>
      <c r="C99">
        <v>3.8534628172327601</v>
      </c>
      <c r="E99" t="str">
        <f>"10530536"</f>
        <v>10530536</v>
      </c>
      <c r="F99" t="str">
        <f t="shared" si="6"/>
        <v>Affy 1.0 ST</v>
      </c>
      <c r="G99" t="str">
        <f>"MGI:98662"</f>
        <v>MGI:98662</v>
      </c>
      <c r="H99" t="str">
        <f>"Tec"</f>
        <v>Tec</v>
      </c>
      <c r="I99" t="str">
        <f>"tec protein tyrosine kinase"</f>
        <v>tec protein tyrosine kinase</v>
      </c>
      <c r="J99" t="str">
        <f>"protein coding gene"</f>
        <v>protein coding gene</v>
      </c>
    </row>
    <row r="100" spans="1:10">
      <c r="A100">
        <v>10527920</v>
      </c>
      <c r="B100">
        <v>4.98571616447314</v>
      </c>
      <c r="C100">
        <v>1.4529534192545299</v>
      </c>
      <c r="E100" t="str">
        <f>"10527920"</f>
        <v>10527920</v>
      </c>
      <c r="F100" t="str">
        <f t="shared" si="6"/>
        <v>Affy 1.0 ST</v>
      </c>
      <c r="G100" t="str">
        <f>"MGI:106040"</f>
        <v>MGI:106040</v>
      </c>
      <c r="H100" t="str">
        <f>"Cyp51"</f>
        <v>Cyp51</v>
      </c>
      <c r="I100" t="s">
        <v>1458</v>
      </c>
      <c r="J100" t="s">
        <v>2010</v>
      </c>
    </row>
    <row r="101" spans="1:10">
      <c r="A101">
        <v>10565315</v>
      </c>
      <c r="B101">
        <v>4.9826748842138802</v>
      </c>
      <c r="C101">
        <v>1.29594961409472</v>
      </c>
      <c r="E101" t="str">
        <f>"10565315"</f>
        <v>10565315</v>
      </c>
      <c r="F101" t="str">
        <f t="shared" si="6"/>
        <v>Affy 1.0 ST</v>
      </c>
      <c r="G101" t="str">
        <f>"MGI:95482"</f>
        <v>MGI:95482</v>
      </c>
      <c r="H101" t="str">
        <f>"Fah"</f>
        <v>Fah</v>
      </c>
      <c r="I101" t="str">
        <f>"fumarylacetoacetate hydrolase"</f>
        <v>fumarylacetoacetate hydrolase</v>
      </c>
      <c r="J101" t="str">
        <f>"protein coding gene"</f>
        <v>protein coding gene</v>
      </c>
    </row>
    <row r="102" spans="1:10">
      <c r="A102">
        <v>10514658</v>
      </c>
      <c r="B102">
        <v>4.9781442913359202</v>
      </c>
      <c r="C102">
        <v>2.2489123907507298</v>
      </c>
      <c r="E102" t="str">
        <f>"10514658"</f>
        <v>10514658</v>
      </c>
      <c r="F102" t="str">
        <f>""</f>
        <v/>
      </c>
      <c r="G102" t="str">
        <f>"No associated gene"</f>
        <v>No associated gene</v>
      </c>
    </row>
    <row r="103" spans="1:10">
      <c r="A103">
        <v>10407211</v>
      </c>
      <c r="B103">
        <v>4.9756686042605001</v>
      </c>
      <c r="C103">
        <v>0.50788373078325</v>
      </c>
      <c r="E103" t="str">
        <f>"10407211"</f>
        <v>10407211</v>
      </c>
      <c r="F103" t="str">
        <f>"Affy 1.0 ST"</f>
        <v>Affy 1.0 ST</v>
      </c>
      <c r="G103" t="str">
        <f>"MGI:108412"</f>
        <v>MGI:108412</v>
      </c>
      <c r="H103" t="str">
        <f>"Ppap2a"</f>
        <v>Ppap2a</v>
      </c>
      <c r="I103" t="str">
        <f>"phosphatidic acid phosphatase type 2A"</f>
        <v>phosphatidic acid phosphatase type 2A</v>
      </c>
      <c r="J103" t="str">
        <f>"protein coding gene"</f>
        <v>protein coding gene</v>
      </c>
    </row>
    <row r="104" spans="1:10">
      <c r="A104">
        <v>10487506</v>
      </c>
      <c r="B104">
        <v>4.8291968102618004</v>
      </c>
      <c r="C104">
        <v>0.84718363099960703</v>
      </c>
      <c r="E104" t="str">
        <f>"10487506"</f>
        <v>10487506</v>
      </c>
      <c r="F104" t="str">
        <f>""</f>
        <v/>
      </c>
      <c r="G104" t="str">
        <f>"No associated gene"</f>
        <v>No associated gene</v>
      </c>
    </row>
    <row r="105" spans="1:10">
      <c r="A105">
        <v>10434869</v>
      </c>
      <c r="B105">
        <v>4.7954132057409904</v>
      </c>
      <c r="C105">
        <v>2.3186265239164001</v>
      </c>
      <c r="E105" t="str">
        <f>"10434869"</f>
        <v>10434869</v>
      </c>
      <c r="F105" t="str">
        <f t="shared" ref="F105:F146" si="7">"Affy 1.0 ST"</f>
        <v>Affy 1.0 ST</v>
      </c>
      <c r="G105" t="str">
        <f>"MGI:1914751"</f>
        <v>MGI:1914751</v>
      </c>
      <c r="H105" t="str">
        <f>"Ccdc50"</f>
        <v>Ccdc50</v>
      </c>
      <c r="I105" t="str">
        <f>"coiled-coil domain containing 50"</f>
        <v>coiled-coil domain containing 50</v>
      </c>
      <c r="J105" t="str">
        <f t="shared" ref="J105:J113" si="8">"protein coding gene"</f>
        <v>protein coding gene</v>
      </c>
    </row>
    <row r="106" spans="1:10">
      <c r="A106">
        <v>10595371</v>
      </c>
      <c r="B106">
        <v>4.7523407428880597</v>
      </c>
      <c r="C106">
        <v>2.5221422934595799</v>
      </c>
      <c r="E106" t="str">
        <f>"10595371"</f>
        <v>10595371</v>
      </c>
      <c r="F106" t="str">
        <f t="shared" si="7"/>
        <v>Affy 1.0 ST</v>
      </c>
      <c r="G106" t="str">
        <f>"MGI:2138069"</f>
        <v>MGI:2138069</v>
      </c>
      <c r="H106" t="str">
        <f>"Hmgn3"</f>
        <v>Hmgn3</v>
      </c>
      <c r="I106" t="str">
        <f>"high mobility group nucleosomal binding domain 3"</f>
        <v>high mobility group nucleosomal binding domain 3</v>
      </c>
      <c r="J106" t="str">
        <f t="shared" si="8"/>
        <v>protein coding gene</v>
      </c>
    </row>
    <row r="107" spans="1:10">
      <c r="A107">
        <v>10446777</v>
      </c>
      <c r="B107">
        <v>4.7407031005576901</v>
      </c>
      <c r="C107">
        <v>2.6163825594807499</v>
      </c>
      <c r="E107" t="str">
        <f>"10446777"</f>
        <v>10446777</v>
      </c>
      <c r="F107" t="str">
        <f t="shared" si="7"/>
        <v>Affy 1.0 ST</v>
      </c>
      <c r="G107" t="str">
        <f>"MGI:1928900"</f>
        <v>MGI:1928900</v>
      </c>
      <c r="H107" t="str">
        <f>"Ehd3"</f>
        <v>Ehd3</v>
      </c>
      <c r="I107" t="str">
        <f>"EH-domain containing 3"</f>
        <v>EH-domain containing 3</v>
      </c>
      <c r="J107" t="str">
        <f t="shared" si="8"/>
        <v>protein coding gene</v>
      </c>
    </row>
    <row r="108" spans="1:10">
      <c r="A108">
        <v>10395287</v>
      </c>
      <c r="B108">
        <v>4.7403397985884697</v>
      </c>
      <c r="C108">
        <v>2.3514524480446202</v>
      </c>
      <c r="E108" t="str">
        <f>"10395287"</f>
        <v>10395287</v>
      </c>
      <c r="F108" t="str">
        <f t="shared" si="7"/>
        <v>Affy 1.0 ST</v>
      </c>
      <c r="G108" t="str">
        <f>"MGI:3584458"</f>
        <v>MGI:3584458</v>
      </c>
      <c r="H108" t="str">
        <f>"Atxn7l1"</f>
        <v>Atxn7l1</v>
      </c>
      <c r="I108" t="str">
        <f>"ataxin 7-like 1"</f>
        <v>ataxin 7-like 1</v>
      </c>
      <c r="J108" t="str">
        <f t="shared" si="8"/>
        <v>protein coding gene</v>
      </c>
    </row>
    <row r="109" spans="1:10">
      <c r="A109">
        <v>10392415</v>
      </c>
      <c r="B109">
        <v>4.7232196078455901</v>
      </c>
      <c r="C109">
        <v>0.48572666657803298</v>
      </c>
      <c r="E109" t="str">
        <f>"10392415"</f>
        <v>10392415</v>
      </c>
      <c r="F109" t="str">
        <f t="shared" si="7"/>
        <v>Affy 1.0 ST</v>
      </c>
      <c r="G109" t="str">
        <f>"MGI:1338824"</f>
        <v>MGI:1338824</v>
      </c>
      <c r="H109" t="str">
        <f>"Rgs9"</f>
        <v>Rgs9</v>
      </c>
      <c r="I109" t="str">
        <f>"regulator of G-protein signaling 9"</f>
        <v>regulator of G-protein signaling 9</v>
      </c>
      <c r="J109" t="str">
        <f t="shared" si="8"/>
        <v>protein coding gene</v>
      </c>
    </row>
    <row r="110" spans="1:10">
      <c r="A110">
        <v>10535780</v>
      </c>
      <c r="B110">
        <v>4.6027001713712803</v>
      </c>
      <c r="C110">
        <v>0.87059034824257697</v>
      </c>
      <c r="E110" t="str">
        <f>"10535780"</f>
        <v>10535780</v>
      </c>
      <c r="F110" t="str">
        <f t="shared" si="7"/>
        <v>Affy 1.0 ST</v>
      </c>
      <c r="G110" t="str">
        <f>"MGI:95559"</f>
        <v>MGI:95559</v>
      </c>
      <c r="H110" t="str">
        <f>"Flt3"</f>
        <v>Flt3</v>
      </c>
      <c r="I110" t="str">
        <f>"FMS-like tyrosine kinase 3"</f>
        <v>FMS-like tyrosine kinase 3</v>
      </c>
      <c r="J110" t="str">
        <f t="shared" si="8"/>
        <v>protein coding gene</v>
      </c>
    </row>
    <row r="111" spans="1:10">
      <c r="A111">
        <v>10444312</v>
      </c>
      <c r="B111">
        <v>4.5938139647285698</v>
      </c>
      <c r="C111">
        <v>1.4213505438106799</v>
      </c>
      <c r="E111" t="str">
        <f>"10444312"</f>
        <v>10444312</v>
      </c>
      <c r="F111" t="str">
        <f t="shared" si="7"/>
        <v>Affy 1.0 ST</v>
      </c>
      <c r="G111" t="str">
        <f>"MGI:1859549"</f>
        <v>MGI:1859549</v>
      </c>
      <c r="H111" t="str">
        <f>"Btnl2"</f>
        <v>Btnl2</v>
      </c>
      <c r="I111" t="str">
        <f>"butyrophilin-like 2"</f>
        <v>butyrophilin-like 2</v>
      </c>
      <c r="J111" t="str">
        <f t="shared" si="8"/>
        <v>protein coding gene</v>
      </c>
    </row>
    <row r="112" spans="1:10">
      <c r="A112">
        <v>10435789</v>
      </c>
      <c r="B112">
        <v>4.5091191037207299</v>
      </c>
      <c r="C112">
        <v>2.2754389494151899</v>
      </c>
      <c r="E112" t="str">
        <f>"10435789"</f>
        <v>10435789</v>
      </c>
      <c r="F112" t="str">
        <f t="shared" si="7"/>
        <v>Affy 1.0 ST</v>
      </c>
      <c r="G112" t="str">
        <f>"MGI:1929213"</f>
        <v>MGI:1929213</v>
      </c>
      <c r="H112" t="str">
        <f>"Zbtb20"</f>
        <v>Zbtb20</v>
      </c>
      <c r="I112" t="str">
        <f>"zinc finger and BTB domain containing 20"</f>
        <v>zinc finger and BTB domain containing 20</v>
      </c>
      <c r="J112" t="str">
        <f t="shared" si="8"/>
        <v>protein coding gene</v>
      </c>
    </row>
    <row r="113" spans="1:10">
      <c r="A113">
        <v>10578916</v>
      </c>
      <c r="B113">
        <v>4.3593233953661397</v>
      </c>
      <c r="C113">
        <v>1.0136017848196299</v>
      </c>
      <c r="E113" t="str">
        <f>"10578916"</f>
        <v>10578916</v>
      </c>
      <c r="F113" t="str">
        <f t="shared" si="7"/>
        <v>Affy 1.0 ST</v>
      </c>
      <c r="G113" t="str">
        <f>"MGI:1913484"</f>
        <v>MGI:1913484</v>
      </c>
      <c r="H113" t="str">
        <f>"Sc4mol"</f>
        <v>Sc4mol</v>
      </c>
      <c r="I113" t="str">
        <f>"sterol-C4-methyl oxidase-like"</f>
        <v>sterol-C4-methyl oxidase-like</v>
      </c>
      <c r="J113" t="str">
        <f t="shared" si="8"/>
        <v>protein coding gene</v>
      </c>
    </row>
    <row r="114" spans="1:10">
      <c r="A114">
        <v>10500295</v>
      </c>
      <c r="B114">
        <v>4.2815819809014704</v>
      </c>
      <c r="C114">
        <v>3.2126718107919401</v>
      </c>
      <c r="E114" t="str">
        <f>"10500295"</f>
        <v>10500295</v>
      </c>
      <c r="F114" t="str">
        <f t="shared" si="7"/>
        <v>Affy 1.0 ST</v>
      </c>
      <c r="G114" t="str">
        <f>"MGI:1914470"</f>
        <v>MGI:1914470</v>
      </c>
      <c r="H114" t="str">
        <f>"Plekho1"</f>
        <v>Plekho1</v>
      </c>
      <c r="I114" t="s">
        <v>1739</v>
      </c>
      <c r="J114" t="s">
        <v>2010</v>
      </c>
    </row>
    <row r="115" spans="1:10">
      <c r="A115">
        <v>10395277</v>
      </c>
      <c r="B115">
        <v>4.2333585742610298</v>
      </c>
      <c r="C115">
        <v>1.12542699110285</v>
      </c>
      <c r="E115" t="str">
        <f>"10395277"</f>
        <v>10395277</v>
      </c>
      <c r="F115" t="str">
        <f t="shared" si="7"/>
        <v>Affy 1.0 ST</v>
      </c>
      <c r="G115" t="str">
        <f>"MGI:108081"</f>
        <v>MGI:108081</v>
      </c>
      <c r="H115" t="str">
        <f>"Sypl"</f>
        <v>Sypl</v>
      </c>
      <c r="I115" t="str">
        <f>"synaptophysin-like protein"</f>
        <v>synaptophysin-like protein</v>
      </c>
      <c r="J115" t="str">
        <f>"protein coding gene"</f>
        <v>protein coding gene</v>
      </c>
    </row>
    <row r="116" spans="1:10">
      <c r="A116">
        <v>10595831</v>
      </c>
      <c r="B116">
        <v>4.2190455761321202</v>
      </c>
      <c r="C116">
        <v>1.4208609829027301</v>
      </c>
      <c r="E116" t="str">
        <f>"10595831"</f>
        <v>10595831</v>
      </c>
      <c r="F116" t="str">
        <f t="shared" si="7"/>
        <v>Affy 1.0 ST</v>
      </c>
      <c r="G116" t="str">
        <f>"MGI:2442866"</f>
        <v>MGI:2442866</v>
      </c>
      <c r="H116" t="str">
        <f>"Zbtb38"</f>
        <v>Zbtb38</v>
      </c>
      <c r="I116" t="str">
        <f>"zinc finger and BTB domain containing 38"</f>
        <v>zinc finger and BTB domain containing 38</v>
      </c>
      <c r="J116" t="str">
        <f>"protein coding gene"</f>
        <v>protein coding gene</v>
      </c>
    </row>
    <row r="117" spans="1:10">
      <c r="A117">
        <v>10424349</v>
      </c>
      <c r="B117">
        <v>4.2163815464879297</v>
      </c>
      <c r="C117">
        <v>2.5703185809832201</v>
      </c>
      <c r="E117" t="str">
        <f>"10424349"</f>
        <v>10424349</v>
      </c>
      <c r="F117" t="str">
        <f t="shared" si="7"/>
        <v>Affy 1.0 ST</v>
      </c>
      <c r="G117" t="str">
        <f>"MGI:109296"</f>
        <v>MGI:109296</v>
      </c>
      <c r="H117" t="str">
        <f>"Sqle"</f>
        <v>Sqle</v>
      </c>
      <c r="I117" t="str">
        <f>"squalene epoxidase"</f>
        <v>squalene epoxidase</v>
      </c>
      <c r="J117" t="str">
        <f>"protein coding gene"</f>
        <v>protein coding gene</v>
      </c>
    </row>
    <row r="118" spans="1:10">
      <c r="A118">
        <v>10506680</v>
      </c>
      <c r="B118">
        <v>4.2010773058258</v>
      </c>
      <c r="C118">
        <v>3.433807523709</v>
      </c>
      <c r="E118" t="str">
        <f>"10506680"</f>
        <v>10506680</v>
      </c>
      <c r="F118" t="str">
        <f t="shared" si="7"/>
        <v>Affy 1.0 ST</v>
      </c>
      <c r="G118" t="str">
        <f>"MGI:1920037"</f>
        <v>MGI:1920037</v>
      </c>
      <c r="H118" t="str">
        <f>"Tmem48"</f>
        <v>Tmem48</v>
      </c>
      <c r="I118" t="str">
        <f>"transmembrane protein 48"</f>
        <v>transmembrane protein 48</v>
      </c>
      <c r="J118" t="str">
        <f>"protein coding gene"</f>
        <v>protein coding gene</v>
      </c>
    </row>
    <row r="119" spans="1:10">
      <c r="A119">
        <v>10531752</v>
      </c>
      <c r="B119">
        <v>4.2005207991357896</v>
      </c>
      <c r="C119">
        <v>1.1607637474525301</v>
      </c>
      <c r="E119" t="str">
        <f>"10531752"</f>
        <v>10531752</v>
      </c>
      <c r="F119" t="str">
        <f t="shared" si="7"/>
        <v>Affy 1.0 ST</v>
      </c>
      <c r="G119" t="str">
        <f>"MGI:2176740"</f>
        <v>MGI:2176740</v>
      </c>
      <c r="H119" t="str">
        <f>"Helq"</f>
        <v>Helq</v>
      </c>
      <c r="I119" t="s">
        <v>2039</v>
      </c>
      <c r="J119" t="s">
        <v>2010</v>
      </c>
    </row>
    <row r="120" spans="1:10">
      <c r="A120">
        <v>10555438</v>
      </c>
      <c r="B120">
        <v>4.1947117283634698</v>
      </c>
      <c r="C120">
        <v>2.5804483134331901</v>
      </c>
      <c r="E120" t="str">
        <f>"10555438"</f>
        <v>10555438</v>
      </c>
      <c r="F120" t="str">
        <f t="shared" si="7"/>
        <v>Affy 1.0 ST</v>
      </c>
      <c r="G120" t="str">
        <f>"MGI:2448475"</f>
        <v>MGI:2448475</v>
      </c>
      <c r="H120" t="str">
        <f>"Fchsd2"</f>
        <v>Fchsd2</v>
      </c>
      <c r="I120" t="str">
        <f>"FCH and double SH3 domains 2"</f>
        <v>FCH and double SH3 domains 2</v>
      </c>
      <c r="J120" t="str">
        <f>"protein coding gene"</f>
        <v>protein coding gene</v>
      </c>
    </row>
    <row r="121" spans="1:10">
      <c r="A121">
        <v>10351477</v>
      </c>
      <c r="B121">
        <v>4.1480916174471396</v>
      </c>
      <c r="C121">
        <v>1.0595855934127001</v>
      </c>
      <c r="E121" t="str">
        <f>"10351477"</f>
        <v>10351477</v>
      </c>
      <c r="F121" t="str">
        <f t="shared" si="7"/>
        <v>Affy 1.0 ST</v>
      </c>
      <c r="G121" t="str">
        <f>"MGI:1349420"</f>
        <v>MGI:1349420</v>
      </c>
      <c r="H121" t="str">
        <f>"Sh2d1b1"</f>
        <v>Sh2d1b1</v>
      </c>
      <c r="I121" t="str">
        <f>"SH2 domain protein 1B1"</f>
        <v>SH2 domain protein 1B1</v>
      </c>
      <c r="J121" t="str">
        <f>"protein coding gene"</f>
        <v>protein coding gene</v>
      </c>
    </row>
    <row r="122" spans="1:10">
      <c r="A122">
        <v>10523190</v>
      </c>
      <c r="B122">
        <v>4.1346971619194601</v>
      </c>
      <c r="C122">
        <v>0.42738226004281099</v>
      </c>
      <c r="E122" t="str">
        <f>"10523190"</f>
        <v>10523190</v>
      </c>
      <c r="F122" t="str">
        <f t="shared" si="7"/>
        <v>Affy 1.0 ST</v>
      </c>
      <c r="G122" t="str">
        <f>"MGI:2443349"</f>
        <v>MGI:2443349</v>
      </c>
      <c r="H122" t="str">
        <f>"Parm1"</f>
        <v>Parm1</v>
      </c>
      <c r="I122" t="str">
        <f>"prostate androgen-regulated mucin-like protein 1"</f>
        <v>prostate androgen-regulated mucin-like protein 1</v>
      </c>
      <c r="J122" t="str">
        <f>"protein coding gene"</f>
        <v>protein coding gene</v>
      </c>
    </row>
    <row r="123" spans="1:10">
      <c r="A123">
        <v>10592160</v>
      </c>
      <c r="B123">
        <v>4.0730046453643496</v>
      </c>
      <c r="C123">
        <v>0.99213708601985995</v>
      </c>
      <c r="E123" t="str">
        <f>"10592160"</f>
        <v>10592160</v>
      </c>
      <c r="F123" t="str">
        <f t="shared" si="7"/>
        <v>Affy 1.0 ST</v>
      </c>
      <c r="G123" t="str">
        <f>"MGI:3643568"</f>
        <v>MGI:3643568</v>
      </c>
      <c r="H123" t="str">
        <f>"Gm6762"</f>
        <v>Gm6762</v>
      </c>
      <c r="I123" t="str">
        <f>"predicted pseudogene 6762"</f>
        <v>predicted pseudogene 6762</v>
      </c>
      <c r="J123" t="str">
        <f>"pseudogene"</f>
        <v>pseudogene</v>
      </c>
    </row>
    <row r="124" spans="1:10">
      <c r="A124">
        <v>10540283</v>
      </c>
      <c r="B124">
        <v>4.0605791826639797</v>
      </c>
      <c r="C124">
        <v>0.46458680147647302</v>
      </c>
      <c r="E124" t="str">
        <f>"10540283"</f>
        <v>10540283</v>
      </c>
      <c r="F124" t="str">
        <f t="shared" si="7"/>
        <v>Affy 1.0 ST</v>
      </c>
      <c r="G124" t="str">
        <f>"MGI:3027896"</f>
        <v>MGI:3027896</v>
      </c>
      <c r="H124" t="str">
        <f>"Ppp4r2"</f>
        <v>Ppp4r2</v>
      </c>
      <c r="I124" t="s">
        <v>1249</v>
      </c>
      <c r="J124" t="s">
        <v>2010</v>
      </c>
    </row>
    <row r="125" spans="1:10">
      <c r="A125">
        <v>10482762</v>
      </c>
      <c r="B125">
        <v>4.01579808926554</v>
      </c>
      <c r="C125">
        <v>3.3695375124133502</v>
      </c>
      <c r="E125" t="str">
        <f>"10482762"</f>
        <v>10482762</v>
      </c>
      <c r="F125" t="str">
        <f t="shared" si="7"/>
        <v>Affy 1.0 ST</v>
      </c>
      <c r="G125" t="str">
        <f>"MGI:2442264"</f>
        <v>MGI:2442264</v>
      </c>
      <c r="H125" t="str">
        <f>"Idi1"</f>
        <v>Idi1</v>
      </c>
      <c r="I125" t="str">
        <f>"isopentenyl-diphosphate delta isomerase"</f>
        <v>isopentenyl-diphosphate delta isomerase</v>
      </c>
      <c r="J125" t="str">
        <f t="shared" ref="J125:J130" si="9">"protein coding gene"</f>
        <v>protein coding gene</v>
      </c>
    </row>
    <row r="126" spans="1:10">
      <c r="A126">
        <v>10485445</v>
      </c>
      <c r="B126">
        <v>3.99127473602862</v>
      </c>
      <c r="C126">
        <v>6.8969847697090303E-2</v>
      </c>
      <c r="E126" t="str">
        <f>"10485445"</f>
        <v>10485445</v>
      </c>
      <c r="F126" t="str">
        <f t="shared" si="7"/>
        <v>Affy 1.0 ST</v>
      </c>
      <c r="G126" t="str">
        <f>"MGI:1270840"</f>
        <v>MGI:1270840</v>
      </c>
      <c r="H126" t="str">
        <f>"Ehf"</f>
        <v>Ehf</v>
      </c>
      <c r="I126" t="str">
        <f>"ets homologous factor"</f>
        <v>ets homologous factor</v>
      </c>
      <c r="J126" t="str">
        <f t="shared" si="9"/>
        <v>protein coding gene</v>
      </c>
    </row>
    <row r="127" spans="1:10">
      <c r="A127">
        <v>10439895</v>
      </c>
      <c r="B127">
        <v>3.9668083146450099</v>
      </c>
      <c r="C127">
        <v>0.84033135476235299</v>
      </c>
      <c r="E127" t="str">
        <f>"10439895"</f>
        <v>10439895</v>
      </c>
      <c r="F127" t="str">
        <f t="shared" si="7"/>
        <v>Affy 1.0 ST</v>
      </c>
      <c r="G127" t="str">
        <f>"MGI:1313266"</f>
        <v>MGI:1313266</v>
      </c>
      <c r="H127" t="str">
        <f>"Alcam"</f>
        <v>Alcam</v>
      </c>
      <c r="I127" t="str">
        <f>"activated leukocyte cell adhesion molecule"</f>
        <v>activated leukocyte cell adhesion molecule</v>
      </c>
      <c r="J127" t="str">
        <f t="shared" si="9"/>
        <v>protein coding gene</v>
      </c>
    </row>
    <row r="128" spans="1:10">
      <c r="A128">
        <v>10381809</v>
      </c>
      <c r="B128">
        <v>3.94048525023761</v>
      </c>
      <c r="C128">
        <v>0.70229839891393397</v>
      </c>
      <c r="E128" t="str">
        <f>"10381809"</f>
        <v>10381809</v>
      </c>
      <c r="F128" t="str">
        <f t="shared" si="7"/>
        <v>Affy 1.0 ST</v>
      </c>
      <c r="G128" t="str">
        <f>"MGI:96612"</f>
        <v>MGI:96612</v>
      </c>
      <c r="H128" t="str">
        <f>"Itgb3"</f>
        <v>Itgb3</v>
      </c>
      <c r="I128" t="str">
        <f>"integrin beta 3"</f>
        <v>integrin beta 3</v>
      </c>
      <c r="J128" t="str">
        <f t="shared" si="9"/>
        <v>protein coding gene</v>
      </c>
    </row>
    <row r="129" spans="1:10">
      <c r="A129">
        <v>10579872</v>
      </c>
      <c r="B129">
        <v>3.9233813322373998</v>
      </c>
      <c r="C129">
        <v>3.1387611907770698</v>
      </c>
      <c r="E129" t="str">
        <f>"10579872"</f>
        <v>10579872</v>
      </c>
      <c r="F129" t="str">
        <f t="shared" si="7"/>
        <v>Affy 1.0 ST</v>
      </c>
      <c r="G129" t="str">
        <f>"MGI:107749"</f>
        <v>MGI:107749</v>
      </c>
      <c r="H129" t="str">
        <f>"Tpd52"</f>
        <v>Tpd52</v>
      </c>
      <c r="I129" t="str">
        <f>"tumor protein D52"</f>
        <v>tumor protein D52</v>
      </c>
      <c r="J129" t="str">
        <f t="shared" si="9"/>
        <v>protein coding gene</v>
      </c>
    </row>
    <row r="130" spans="1:10">
      <c r="A130">
        <v>10512226</v>
      </c>
      <c r="B130">
        <v>3.8867031472909499</v>
      </c>
      <c r="C130">
        <v>0.53375776578406797</v>
      </c>
      <c r="E130" t="str">
        <f>"10512226"</f>
        <v>10512226</v>
      </c>
      <c r="F130" t="str">
        <f t="shared" si="7"/>
        <v>Affy 1.0 ST</v>
      </c>
      <c r="G130" t="str">
        <f>"MGI:1916220"</f>
        <v>MGI:1916220</v>
      </c>
      <c r="H130" t="str">
        <f>"Dcaf12"</f>
        <v>Dcaf12</v>
      </c>
      <c r="I130" t="str">
        <f>"DDB1 and CUL4 associated factor 12"</f>
        <v>DDB1 and CUL4 associated factor 12</v>
      </c>
      <c r="J130" t="str">
        <f t="shared" si="9"/>
        <v>protein coding gene</v>
      </c>
    </row>
    <row r="131" spans="1:10">
      <c r="A131">
        <v>10600476</v>
      </c>
      <c r="B131">
        <v>3.8732700030788898</v>
      </c>
      <c r="C131">
        <v>1.0274663831030599</v>
      </c>
      <c r="E131" t="str">
        <f>"10600476"</f>
        <v>10600476</v>
      </c>
      <c r="F131" t="str">
        <f t="shared" si="7"/>
        <v>Affy 1.0 ST</v>
      </c>
      <c r="G131" t="str">
        <f>"MGI:3643860"</f>
        <v>MGI:3643860</v>
      </c>
      <c r="H131" t="str">
        <f>"Gm4989"</f>
        <v>Gm4989</v>
      </c>
      <c r="I131" t="str">
        <f>"predicted pseudogene 4989"</f>
        <v>predicted pseudogene 4989</v>
      </c>
      <c r="J131" t="str">
        <f>"pseudogene"</f>
        <v>pseudogene</v>
      </c>
    </row>
    <row r="132" spans="1:10">
      <c r="A132">
        <v>10403023</v>
      </c>
      <c r="B132">
        <v>3.8535448286351799</v>
      </c>
      <c r="C132">
        <v>2.7404588534708298</v>
      </c>
      <c r="E132" t="str">
        <f>"10403023"</f>
        <v>10403023</v>
      </c>
      <c r="F132" t="str">
        <f t="shared" si="7"/>
        <v>Affy 1.0 ST</v>
      </c>
      <c r="G132" t="str">
        <f>"MGI:3704124"</f>
        <v>MGI:3704124</v>
      </c>
      <c r="H132" t="str">
        <f>"Ighv1-43"</f>
        <v>Ighv1-43</v>
      </c>
      <c r="I132" t="str">
        <f>"immunoglobulin heavy variable V1-43"</f>
        <v>immunoglobulin heavy variable V1-43</v>
      </c>
      <c r="J132" t="str">
        <f>"gene segment"</f>
        <v>gene segment</v>
      </c>
    </row>
    <row r="133" spans="1:10">
      <c r="A133">
        <v>10419170</v>
      </c>
      <c r="B133">
        <v>3.84458606797042</v>
      </c>
      <c r="C133">
        <v>2.10147850464636</v>
      </c>
      <c r="E133" t="str">
        <f>"10419170"</f>
        <v>10419170</v>
      </c>
      <c r="F133" t="str">
        <f t="shared" si="7"/>
        <v>Affy 1.0 ST</v>
      </c>
      <c r="G133" t="str">
        <f>"MGI:1917811"</f>
        <v>MGI:1917811</v>
      </c>
      <c r="H133" t="str">
        <f>"Txndc16"</f>
        <v>Txndc16</v>
      </c>
      <c r="I133" t="str">
        <f>"thioredoxin domain containing 16"</f>
        <v>thioredoxin domain containing 16</v>
      </c>
      <c r="J133" t="str">
        <f>"protein coding gene"</f>
        <v>protein coding gene</v>
      </c>
    </row>
    <row r="134" spans="1:10">
      <c r="A134">
        <v>10570201</v>
      </c>
      <c r="B134">
        <v>3.8443711147384199</v>
      </c>
      <c r="C134">
        <v>1.8858720948346599</v>
      </c>
      <c r="E134" t="str">
        <f>"10570201"</f>
        <v>10570201</v>
      </c>
      <c r="F134" t="str">
        <f t="shared" si="7"/>
        <v>Affy 1.0 ST</v>
      </c>
      <c r="G134" t="str">
        <f>"MGI:1354735"</f>
        <v>MGI:1354735</v>
      </c>
      <c r="H134" t="str">
        <f>"Atp11a"</f>
        <v>Atp11a</v>
      </c>
      <c r="I134" t="s">
        <v>4</v>
      </c>
      <c r="J134" t="s">
        <v>2010</v>
      </c>
    </row>
    <row r="135" spans="1:10">
      <c r="A135">
        <v>10362171</v>
      </c>
      <c r="B135">
        <v>3.8439074551596999</v>
      </c>
      <c r="C135">
        <v>2.6674925268126399</v>
      </c>
      <c r="E135" t="str">
        <f>"10362171"</f>
        <v>10362171</v>
      </c>
      <c r="F135" t="str">
        <f t="shared" si="7"/>
        <v>Affy 1.0 ST</v>
      </c>
      <c r="G135" t="str">
        <f>"MGI:1858210"</f>
        <v>MGI:1858210</v>
      </c>
      <c r="H135" t="str">
        <f>"Stx7"</f>
        <v>Stx7</v>
      </c>
      <c r="I135" t="str">
        <f>"syntaxin 7"</f>
        <v>syntaxin 7</v>
      </c>
      <c r="J135" t="str">
        <f>"protein coding gene"</f>
        <v>protein coding gene</v>
      </c>
    </row>
    <row r="136" spans="1:10">
      <c r="A136">
        <v>10392983</v>
      </c>
      <c r="B136">
        <v>3.8435820260400102</v>
      </c>
      <c r="C136">
        <v>0.91840559855099102</v>
      </c>
      <c r="E136" t="str">
        <f>"10392983"</f>
        <v>10392983</v>
      </c>
      <c r="F136" t="str">
        <f t="shared" si="7"/>
        <v>Affy 1.0 ST</v>
      </c>
      <c r="G136" t="str">
        <f>"MGI:1914533"</f>
        <v>MGI:1914533</v>
      </c>
      <c r="H136" t="str">
        <f>"Slc25a19"</f>
        <v>Slc25a19</v>
      </c>
      <c r="I136" t="s">
        <v>2182</v>
      </c>
      <c r="J136" t="s">
        <v>2010</v>
      </c>
    </row>
    <row r="137" spans="1:10">
      <c r="A137">
        <v>10382136</v>
      </c>
      <c r="B137">
        <v>3.8229914995515899</v>
      </c>
      <c r="C137">
        <v>0.24223208705322</v>
      </c>
      <c r="E137" t="str">
        <f>"10382136"</f>
        <v>10382136</v>
      </c>
      <c r="F137" t="str">
        <f t="shared" si="7"/>
        <v>Affy 1.0 ST</v>
      </c>
      <c r="G137" t="str">
        <f>"MGI:1916316"</f>
        <v>MGI:1916316</v>
      </c>
      <c r="H137" t="str">
        <f>"1810010H24Rik"</f>
        <v>1810010H24Rik</v>
      </c>
      <c r="I137" t="str">
        <f>"RIKEN cDNA 1810010H24 gene"</f>
        <v>RIKEN cDNA 1810010H24 gene</v>
      </c>
      <c r="J137" t="str">
        <f>"unclassified gene"</f>
        <v>unclassified gene</v>
      </c>
    </row>
    <row r="138" spans="1:10">
      <c r="A138">
        <v>10382257</v>
      </c>
      <c r="B138">
        <v>3.78138528730027</v>
      </c>
      <c r="C138">
        <v>2.6857401529156002</v>
      </c>
      <c r="E138" t="str">
        <f>"10382257"</f>
        <v>10382257</v>
      </c>
      <c r="F138" t="str">
        <f t="shared" si="7"/>
        <v>Affy 1.0 ST</v>
      </c>
      <c r="G138" t="str">
        <f>"MGI:104837"</f>
        <v>MGI:104837</v>
      </c>
      <c r="H138" t="str">
        <f>"Amz2"</f>
        <v>Amz2</v>
      </c>
      <c r="I138" t="str">
        <f>"archaelysin family metallopeptidase 2"</f>
        <v>archaelysin family metallopeptidase 2</v>
      </c>
      <c r="J138" t="str">
        <f>"protein coding gene"</f>
        <v>protein coding gene</v>
      </c>
    </row>
    <row r="139" spans="1:10">
      <c r="A139">
        <v>10599826</v>
      </c>
      <c r="B139">
        <v>3.78116313996341</v>
      </c>
      <c r="C139">
        <v>0.40638309350349799</v>
      </c>
      <c r="E139" t="str">
        <f>"10599826"</f>
        <v>10599826</v>
      </c>
      <c r="F139" t="str">
        <f t="shared" si="7"/>
        <v>Affy 1.0 ST</v>
      </c>
      <c r="G139" t="str">
        <f>"MGI:88384"</f>
        <v>MGI:88384</v>
      </c>
      <c r="H139" t="str">
        <f>"F9"</f>
        <v>F9</v>
      </c>
      <c r="I139" t="str">
        <f>"coagulation factor IX"</f>
        <v>coagulation factor IX</v>
      </c>
      <c r="J139" t="str">
        <f>"protein coding gene"</f>
        <v>protein coding gene</v>
      </c>
    </row>
    <row r="140" spans="1:10">
      <c r="A140">
        <v>10546088</v>
      </c>
      <c r="B140">
        <v>3.7744282608715198</v>
      </c>
      <c r="C140">
        <v>1.8151221670509301</v>
      </c>
      <c r="E140" t="str">
        <f>"10546088"</f>
        <v>10546088</v>
      </c>
      <c r="F140" t="str">
        <f t="shared" si="7"/>
        <v>Affy 1.0 ST</v>
      </c>
      <c r="G140" t="str">
        <f>"MGI:2685307"</f>
        <v>MGI:2685307</v>
      </c>
      <c r="H140" t="str">
        <f>"H1fx"</f>
        <v>H1fx</v>
      </c>
      <c r="I140" t="s">
        <v>2050</v>
      </c>
      <c r="J140" t="s">
        <v>2010</v>
      </c>
    </row>
    <row r="141" spans="1:10">
      <c r="A141">
        <v>10435769</v>
      </c>
      <c r="B141">
        <v>3.7608634183440399</v>
      </c>
      <c r="C141">
        <v>1.56206555864376</v>
      </c>
      <c r="E141" t="str">
        <f>"10435769"</f>
        <v>10435769</v>
      </c>
      <c r="F141" t="str">
        <f t="shared" si="7"/>
        <v>Affy 1.0 ST</v>
      </c>
      <c r="G141" t="str">
        <f>"MGI:1929213"</f>
        <v>MGI:1929213</v>
      </c>
      <c r="H141" t="str">
        <f>"Zbtb20"</f>
        <v>Zbtb20</v>
      </c>
      <c r="I141" t="str">
        <f>"zinc finger and BTB domain containing 20"</f>
        <v>zinc finger and BTB domain containing 20</v>
      </c>
      <c r="J141" t="str">
        <f>"protein coding gene"</f>
        <v>protein coding gene</v>
      </c>
    </row>
    <row r="142" spans="1:10">
      <c r="A142">
        <v>10540579</v>
      </c>
      <c r="B142">
        <v>3.75303938705204</v>
      </c>
      <c r="C142">
        <v>0.70315874533647704</v>
      </c>
      <c r="E142" t="str">
        <f>"10540579"</f>
        <v>10540579</v>
      </c>
      <c r="F142" t="str">
        <f t="shared" si="7"/>
        <v>Affy 1.0 ST</v>
      </c>
      <c r="G142" t="str">
        <f>"MGI:1916075"</f>
        <v>MGI:1916075</v>
      </c>
      <c r="H142" t="str">
        <f>"Mtmr14"</f>
        <v>Mtmr14</v>
      </c>
      <c r="I142" t="str">
        <f>"myotubularin related protein 14"</f>
        <v>myotubularin related protein 14</v>
      </c>
      <c r="J142" t="str">
        <f>"protein coding gene"</f>
        <v>protein coding gene</v>
      </c>
    </row>
    <row r="143" spans="1:10">
      <c r="A143">
        <v>10534281</v>
      </c>
      <c r="B143">
        <v>3.7500510136829401</v>
      </c>
      <c r="C143">
        <v>0.79057169634445801</v>
      </c>
      <c r="E143" t="str">
        <f>"10534281"</f>
        <v>10534281</v>
      </c>
      <c r="F143" t="str">
        <f t="shared" si="7"/>
        <v>Affy 1.0 ST</v>
      </c>
      <c r="G143" t="str">
        <f>"MGI:1313136"</f>
        <v>MGI:1313136</v>
      </c>
      <c r="H143" t="str">
        <f>"Clip2"</f>
        <v>Clip2</v>
      </c>
      <c r="I143" t="str">
        <f>"CAP-GLY domain containing linker protein 2"</f>
        <v>CAP-GLY domain containing linker protein 2</v>
      </c>
      <c r="J143" t="str">
        <f>"protein coding gene"</f>
        <v>protein coding gene</v>
      </c>
    </row>
    <row r="144" spans="1:10">
      <c r="A144">
        <v>10345550</v>
      </c>
      <c r="B144">
        <v>3.7415317028872499</v>
      </c>
      <c r="C144">
        <v>0.418457825240166</v>
      </c>
      <c r="E144" t="str">
        <f>"10345550"</f>
        <v>10345550</v>
      </c>
      <c r="F144" t="str">
        <f t="shared" si="7"/>
        <v>Affy 1.0 ST</v>
      </c>
      <c r="G144" t="str">
        <f>"MGI:1918103"</f>
        <v>MGI:1918103</v>
      </c>
      <c r="H144" t="str">
        <f>"Vwa3b"</f>
        <v>Vwa3b</v>
      </c>
      <c r="I144" t="str">
        <f>"von Willebrand factor A domain containing 3B"</f>
        <v>von Willebrand factor A domain containing 3B</v>
      </c>
      <c r="J144" t="str">
        <f>"protein coding gene"</f>
        <v>protein coding gene</v>
      </c>
    </row>
    <row r="145" spans="1:10">
      <c r="A145">
        <v>10411680</v>
      </c>
      <c r="B145">
        <v>3.7314919816307199</v>
      </c>
      <c r="C145">
        <v>1.3495880172063099</v>
      </c>
      <c r="E145" t="str">
        <f>"10411680"</f>
        <v>10411680</v>
      </c>
      <c r="F145" t="str">
        <f t="shared" si="7"/>
        <v>Affy 1.0 ST</v>
      </c>
      <c r="G145" t="str">
        <f>"MGI:2446166"</f>
        <v>MGI:2446166</v>
      </c>
      <c r="H145" t="str">
        <f>"Marveld2"</f>
        <v>Marveld2</v>
      </c>
      <c r="I145" t="str">
        <f>"MARVEL (membrane-associating) domain containing 2"</f>
        <v>MARVEL (membrane-associating) domain containing 2</v>
      </c>
      <c r="J145" t="str">
        <f>"protein coding gene"</f>
        <v>protein coding gene</v>
      </c>
    </row>
    <row r="146" spans="1:10">
      <c r="A146">
        <v>10392347</v>
      </c>
      <c r="B146">
        <v>3.7078093555525902</v>
      </c>
      <c r="C146">
        <v>1.40512298901124</v>
      </c>
      <c r="E146" t="str">
        <f>"10392347"</f>
        <v>10392347</v>
      </c>
      <c r="F146" t="str">
        <f t="shared" si="7"/>
        <v>Affy 1.0 ST</v>
      </c>
      <c r="G146" t="str">
        <f>"MGI:1919045"</f>
        <v>MGI:1919045</v>
      </c>
      <c r="H146" t="str">
        <f>"Pitpnc1"</f>
        <v>Pitpnc1</v>
      </c>
      <c r="I146" t="s">
        <v>901</v>
      </c>
      <c r="J146" t="s">
        <v>2010</v>
      </c>
    </row>
    <row r="147" spans="1:10">
      <c r="A147">
        <v>10608685</v>
      </c>
      <c r="B147">
        <v>3.68129011661346</v>
      </c>
      <c r="C147">
        <v>0.50467078344768102</v>
      </c>
      <c r="E147" t="str">
        <f>"10608685"</f>
        <v>10608685</v>
      </c>
      <c r="F147" t="str">
        <f>""</f>
        <v/>
      </c>
      <c r="G147" t="str">
        <f>"No associated gene"</f>
        <v>No associated gene</v>
      </c>
    </row>
    <row r="148" spans="1:10">
      <c r="A148">
        <v>10461558</v>
      </c>
      <c r="B148">
        <v>3.6264399417116699</v>
      </c>
      <c r="C148">
        <v>1.9332690331243501</v>
      </c>
      <c r="E148" t="str">
        <f>"10461558"</f>
        <v>10461558</v>
      </c>
      <c r="F148" t="str">
        <f t="shared" ref="F148:F156" si="10">"Affy 1.0 ST"</f>
        <v>Affy 1.0 ST</v>
      </c>
      <c r="G148" t="str">
        <f>"MGI:1929691"</f>
        <v>MGI:1929691</v>
      </c>
      <c r="H148" t="str">
        <f>"Slc15a3"</f>
        <v>Slc15a3</v>
      </c>
      <c r="I148" t="s">
        <v>1356</v>
      </c>
      <c r="J148" t="s">
        <v>2010</v>
      </c>
    </row>
    <row r="149" spans="1:10">
      <c r="A149">
        <v>10511803</v>
      </c>
      <c r="B149">
        <v>3.6138213191406501</v>
      </c>
      <c r="C149">
        <v>1.72631638441665</v>
      </c>
      <c r="E149" t="str">
        <f>"10511803"</f>
        <v>10511803</v>
      </c>
      <c r="F149" t="str">
        <f t="shared" si="10"/>
        <v>Affy 1.0 ST</v>
      </c>
      <c r="G149" t="str">
        <f>"MGI:1924282"</f>
        <v>MGI:1924282</v>
      </c>
      <c r="H149" t="str">
        <f>"2610029I01Rik"</f>
        <v>2610029I01Rik</v>
      </c>
      <c r="I149" t="str">
        <f>"RIKEN cDNA 2610029I01 gene"</f>
        <v>RIKEN cDNA 2610029I01 gene</v>
      </c>
      <c r="J149" t="str">
        <f>"protein coding gene"</f>
        <v>protein coding gene</v>
      </c>
    </row>
    <row r="150" spans="1:10">
      <c r="A150">
        <v>10512851</v>
      </c>
      <c r="B150">
        <v>3.5798246762387702</v>
      </c>
      <c r="C150">
        <v>0.82644484969630005</v>
      </c>
      <c r="E150" t="str">
        <f>"10512851"</f>
        <v>10512851</v>
      </c>
      <c r="F150" t="str">
        <f t="shared" si="10"/>
        <v>Affy 1.0 ST</v>
      </c>
      <c r="G150" t="str">
        <f>"MGI:1923549"</f>
        <v>MGI:1923549</v>
      </c>
      <c r="H150" t="str">
        <f>"Erp44"</f>
        <v>Erp44</v>
      </c>
      <c r="I150" t="str">
        <f>"endoplasmic reticulum protein 44"</f>
        <v>endoplasmic reticulum protein 44</v>
      </c>
      <c r="J150" t="str">
        <f>"protein coding gene"</f>
        <v>protein coding gene</v>
      </c>
    </row>
    <row r="151" spans="1:10">
      <c r="A151">
        <v>10363118</v>
      </c>
      <c r="B151">
        <v>3.5616460415201998</v>
      </c>
      <c r="C151">
        <v>1.73424204945771</v>
      </c>
      <c r="E151" t="str">
        <f>"10363118"</f>
        <v>10363118</v>
      </c>
      <c r="F151" t="str">
        <f t="shared" si="10"/>
        <v>Affy 1.0 ST</v>
      </c>
      <c r="G151" t="str">
        <f>"MGI:1913936"</f>
        <v>MGI:1913936</v>
      </c>
      <c r="H151" t="str">
        <f>"Dcbld1"</f>
        <v>Dcbld1</v>
      </c>
      <c r="I151" t="s">
        <v>1264</v>
      </c>
      <c r="J151" t="s">
        <v>2010</v>
      </c>
    </row>
    <row r="152" spans="1:10">
      <c r="A152">
        <v>10603567</v>
      </c>
      <c r="B152">
        <v>3.5546723006323702</v>
      </c>
      <c r="C152">
        <v>1.8428309711856501</v>
      </c>
      <c r="E152" t="str">
        <f>"10603567"</f>
        <v>10603567</v>
      </c>
      <c r="F152" t="str">
        <f t="shared" si="10"/>
        <v>Affy 1.0 ST</v>
      </c>
      <c r="G152" t="str">
        <f>"MGI:1914367"</f>
        <v>MGI:1914367</v>
      </c>
      <c r="H152" t="str">
        <f>"Dynlt3"</f>
        <v>Dynlt3</v>
      </c>
      <c r="I152" t="str">
        <f>"dynein light chain Tctex-type 3"</f>
        <v>dynein light chain Tctex-type 3</v>
      </c>
      <c r="J152" t="str">
        <f>"protein coding gene"</f>
        <v>protein coding gene</v>
      </c>
    </row>
    <row r="153" spans="1:10">
      <c r="A153">
        <v>10399148</v>
      </c>
      <c r="B153">
        <v>3.5488564958563198</v>
      </c>
      <c r="C153">
        <v>2.2201419735016499</v>
      </c>
      <c r="E153" t="str">
        <f>"10399148"</f>
        <v>10399148</v>
      </c>
      <c r="F153" t="str">
        <f t="shared" si="10"/>
        <v>Affy 1.0 ST</v>
      </c>
      <c r="G153" t="str">
        <f>"MGI:2444365"</f>
        <v>MGI:2444365</v>
      </c>
      <c r="H153" t="str">
        <f>"Rapgef5"</f>
        <v>Rapgef5</v>
      </c>
      <c r="I153" t="str">
        <f>"Rap guanine nucleotide exchange factor (GEF) 5"</f>
        <v>Rap guanine nucleotide exchange factor (GEF) 5</v>
      </c>
      <c r="J153" t="str">
        <f>"protein coding gene"</f>
        <v>protein coding gene</v>
      </c>
    </row>
    <row r="154" spans="1:10">
      <c r="A154">
        <v>10503410</v>
      </c>
      <c r="B154">
        <v>3.54229881068184</v>
      </c>
      <c r="C154">
        <v>2.2739952114244502</v>
      </c>
      <c r="E154" t="str">
        <f>"10503410"</f>
        <v>10503410</v>
      </c>
      <c r="F154" t="str">
        <f t="shared" si="10"/>
        <v>Affy 1.0 ST</v>
      </c>
      <c r="G154" t="str">
        <f>"MGI:2140359"</f>
        <v>MGI:2140359</v>
      </c>
      <c r="H154" t="str">
        <f>"Tmem64"</f>
        <v>Tmem64</v>
      </c>
      <c r="I154" t="str">
        <f>"transmembrane protein 64"</f>
        <v>transmembrane protein 64</v>
      </c>
      <c r="J154" t="str">
        <f>"protein coding gene"</f>
        <v>protein coding gene</v>
      </c>
    </row>
    <row r="155" spans="1:10">
      <c r="A155">
        <v>10500720</v>
      </c>
      <c r="B155">
        <v>3.5406610400132399</v>
      </c>
      <c r="C155">
        <v>0.72257973485415194</v>
      </c>
      <c r="E155" t="str">
        <f>"10500720"</f>
        <v>10500720</v>
      </c>
      <c r="F155" t="str">
        <f t="shared" si="10"/>
        <v>Affy 1.0 ST</v>
      </c>
      <c r="G155" t="str">
        <f>"MGI:3607704"</f>
        <v>MGI:3607704</v>
      </c>
      <c r="H155" t="str">
        <f>"Slc22a15"</f>
        <v>Slc22a15</v>
      </c>
      <c r="I155" t="s">
        <v>1136</v>
      </c>
      <c r="J155" t="s">
        <v>2010</v>
      </c>
    </row>
    <row r="156" spans="1:10">
      <c r="A156">
        <v>10547088</v>
      </c>
      <c r="B156">
        <v>3.4753927941687399</v>
      </c>
      <c r="C156">
        <v>1.5988962594568801</v>
      </c>
      <c r="E156" t="str">
        <f>"10547088"</f>
        <v>10547088</v>
      </c>
      <c r="F156" t="str">
        <f t="shared" si="10"/>
        <v>Affy 1.0 ST</v>
      </c>
      <c r="G156" t="str">
        <f>"MGI:1333850"</f>
        <v>MGI:1333850</v>
      </c>
      <c r="H156" t="str">
        <f>"Mbd4"</f>
        <v>Mbd4</v>
      </c>
      <c r="I156" t="str">
        <f>"methyl-CpG binding domain protein 4"</f>
        <v>methyl-CpG binding domain protein 4</v>
      </c>
      <c r="J156" t="str">
        <f>"protein coding gene"</f>
        <v>protein coding gene</v>
      </c>
    </row>
    <row r="157" spans="1:10">
      <c r="A157">
        <v>10527959</v>
      </c>
      <c r="B157">
        <v>3.4718907847315301</v>
      </c>
      <c r="C157">
        <v>0.46265149228656999</v>
      </c>
      <c r="E157" t="str">
        <f>"10527959"</f>
        <v>10527959</v>
      </c>
      <c r="F157" t="str">
        <f>""</f>
        <v/>
      </c>
      <c r="G157" t="str">
        <f>"No associated gene"</f>
        <v>No associated gene</v>
      </c>
    </row>
    <row r="158" spans="1:10">
      <c r="A158">
        <v>10589087</v>
      </c>
      <c r="B158">
        <v>3.4229320379378598</v>
      </c>
      <c r="C158">
        <v>1.31339892217133</v>
      </c>
      <c r="E158" t="str">
        <f>"10589087"</f>
        <v>10589087</v>
      </c>
      <c r="F158" t="str">
        <f t="shared" ref="F158:F191" si="11">"Affy 1.0 ST"</f>
        <v>Affy 1.0 ST</v>
      </c>
      <c r="G158" t="str">
        <f>"MGI:108025"</f>
        <v>MGI:108025</v>
      </c>
      <c r="H158" t="str">
        <f>"Prkar2a"</f>
        <v>Prkar2a</v>
      </c>
      <c r="I158" t="s">
        <v>5</v>
      </c>
      <c r="J158" t="s">
        <v>2010</v>
      </c>
    </row>
    <row r="159" spans="1:10">
      <c r="A159">
        <v>10412466</v>
      </c>
      <c r="B159">
        <v>3.3774719461398002</v>
      </c>
      <c r="C159">
        <v>1.5039807794462901</v>
      </c>
      <c r="E159" t="str">
        <f>"10412466"</f>
        <v>10412466</v>
      </c>
      <c r="F159" t="str">
        <f t="shared" si="11"/>
        <v>Affy 1.0 ST</v>
      </c>
      <c r="G159" t="str">
        <f>"MGI:107592"</f>
        <v>MGI:107592</v>
      </c>
      <c r="H159" t="str">
        <f>"Hmgcs1"</f>
        <v>Hmgcs1</v>
      </c>
      <c r="I159" t="str">
        <f>"3-hydroxy-3-methylglutaryl-Coenzyme A synthase 1"</f>
        <v>3-hydroxy-3-methylglutaryl-Coenzyme A synthase 1</v>
      </c>
      <c r="J159" t="str">
        <f>"protein coding gene"</f>
        <v>protein coding gene</v>
      </c>
    </row>
    <row r="160" spans="1:10">
      <c r="A160">
        <v>10414527</v>
      </c>
      <c r="B160">
        <v>3.37104930686947</v>
      </c>
      <c r="C160">
        <v>1.58637187659796</v>
      </c>
      <c r="E160" t="str">
        <f>"10414527"</f>
        <v>10414527</v>
      </c>
      <c r="F160" t="str">
        <f t="shared" si="11"/>
        <v>Affy 1.0 ST</v>
      </c>
      <c r="G160" t="str">
        <f>"MGI:3712328"</f>
        <v>MGI:3712328</v>
      </c>
      <c r="H160" t="str">
        <f>"Pnp2"</f>
        <v>Pnp2</v>
      </c>
      <c r="I160" t="str">
        <f>"purine-nucleoside phosphorylase 2"</f>
        <v>purine-nucleoside phosphorylase 2</v>
      </c>
      <c r="J160" t="str">
        <f>"protein coding gene"</f>
        <v>protein coding gene</v>
      </c>
    </row>
    <row r="161" spans="1:10">
      <c r="A161">
        <v>10520965</v>
      </c>
      <c r="B161">
        <v>3.3321797197898602</v>
      </c>
      <c r="C161">
        <v>0.37743719042384699</v>
      </c>
      <c r="E161" t="str">
        <f>"10520965"</f>
        <v>10520965</v>
      </c>
      <c r="F161" t="str">
        <f t="shared" si="11"/>
        <v>Affy 1.0 ST</v>
      </c>
      <c r="G161" t="str">
        <f>"MGI:99147"</f>
        <v>MGI:99147</v>
      </c>
      <c r="H161" t="str">
        <f>"Yes1"</f>
        <v>Yes1</v>
      </c>
      <c r="I161" t="str">
        <f>"Yamaguchi sarcoma viral (v-yes) oncogene homolog 1"</f>
        <v>Yamaguchi sarcoma viral (v-yes) oncogene homolog 1</v>
      </c>
      <c r="J161" t="str">
        <f>"protein coding gene"</f>
        <v>protein coding gene</v>
      </c>
    </row>
    <row r="162" spans="1:10">
      <c r="A162">
        <v>10601903</v>
      </c>
      <c r="B162">
        <v>3.2843092452324099</v>
      </c>
      <c r="C162">
        <v>1.3728551893187699</v>
      </c>
      <c r="E162" t="str">
        <f>"10601903"</f>
        <v>10601903</v>
      </c>
      <c r="F162" t="str">
        <f t="shared" si="11"/>
        <v>Affy 1.0 ST</v>
      </c>
      <c r="G162" t="str">
        <f>"MGI:1914245"</f>
        <v>MGI:1914245</v>
      </c>
      <c r="H162" t="str">
        <f>"Zcchc18"</f>
        <v>Zcchc18</v>
      </c>
      <c r="I162" t="s">
        <v>187</v>
      </c>
      <c r="J162" t="s">
        <v>2010</v>
      </c>
    </row>
    <row r="163" spans="1:10">
      <c r="A163">
        <v>10583320</v>
      </c>
      <c r="B163">
        <v>3.28179614735902</v>
      </c>
      <c r="C163">
        <v>0.217797545941191</v>
      </c>
      <c r="E163" t="str">
        <f>"10583320"</f>
        <v>10583320</v>
      </c>
      <c r="F163" t="str">
        <f t="shared" si="11"/>
        <v>Affy 1.0 ST</v>
      </c>
      <c r="G163" t="str">
        <f>"MGI:3039636"</f>
        <v>MGI:3039636</v>
      </c>
      <c r="H163" t="str">
        <f>"BC017612"</f>
        <v>BC017612</v>
      </c>
      <c r="I163" t="str">
        <f>"cDNA sequence BC017612"</f>
        <v>cDNA sequence BC017612</v>
      </c>
      <c r="J163" t="str">
        <f t="shared" ref="J163:J170" si="12">"protein coding gene"</f>
        <v>protein coding gene</v>
      </c>
    </row>
    <row r="164" spans="1:10">
      <c r="A164">
        <v>10555174</v>
      </c>
      <c r="B164">
        <v>3.2803888808759099</v>
      </c>
      <c r="C164">
        <v>0.47003073519640998</v>
      </c>
      <c r="E164" t="str">
        <f>"10555174"</f>
        <v>10555174</v>
      </c>
      <c r="F164" t="str">
        <f t="shared" si="11"/>
        <v>Affy 1.0 ST</v>
      </c>
      <c r="G164" t="str">
        <f>"MGI:93882"</f>
        <v>MGI:93882</v>
      </c>
      <c r="H164" t="str">
        <f>"Lrrc32"</f>
        <v>Lrrc32</v>
      </c>
      <c r="I164" t="str">
        <f>"leucine rich repeat containing 32"</f>
        <v>leucine rich repeat containing 32</v>
      </c>
      <c r="J164" t="str">
        <f t="shared" si="12"/>
        <v>protein coding gene</v>
      </c>
    </row>
    <row r="165" spans="1:10">
      <c r="A165">
        <v>10396278</v>
      </c>
      <c r="B165">
        <v>3.2582040874289699</v>
      </c>
      <c r="C165">
        <v>0.110572386876716</v>
      </c>
      <c r="E165" t="str">
        <f>"10396278"</f>
        <v>10396278</v>
      </c>
      <c r="F165" t="str">
        <f t="shared" si="11"/>
        <v>Affy 1.0 ST</v>
      </c>
      <c r="G165" t="str">
        <f>"MGI:1914596"</f>
        <v>MGI:1914596</v>
      </c>
      <c r="H165" t="str">
        <f>"Daam1"</f>
        <v>Daam1</v>
      </c>
      <c r="I165" t="str">
        <f>"dishevelled associated activator of morphogenesis 1"</f>
        <v>dishevelled associated activator of morphogenesis 1</v>
      </c>
      <c r="J165" t="str">
        <f t="shared" si="12"/>
        <v>protein coding gene</v>
      </c>
    </row>
    <row r="166" spans="1:10">
      <c r="A166">
        <v>10469581</v>
      </c>
      <c r="B166">
        <v>3.2055711377483802</v>
      </c>
      <c r="C166">
        <v>0.118289554137761</v>
      </c>
      <c r="E166" t="str">
        <f>"10469581"</f>
        <v>10469581</v>
      </c>
      <c r="F166" t="str">
        <f t="shared" si="11"/>
        <v>Affy 1.0 ST</v>
      </c>
      <c r="G166" t="str">
        <f>"MGI:95454"</f>
        <v>MGI:95454</v>
      </c>
      <c r="H166" t="str">
        <f>"Etl4"</f>
        <v>Etl4</v>
      </c>
      <c r="I166" t="str">
        <f>"enhancer trap locus 4"</f>
        <v>enhancer trap locus 4</v>
      </c>
      <c r="J166" t="str">
        <f t="shared" si="12"/>
        <v>protein coding gene</v>
      </c>
    </row>
    <row r="167" spans="1:10">
      <c r="A167">
        <v>10392135</v>
      </c>
      <c r="B167">
        <v>3.2026061927679299</v>
      </c>
      <c r="C167">
        <v>0.30872053524168303</v>
      </c>
      <c r="E167" t="str">
        <f>"10392135"</f>
        <v>10392135</v>
      </c>
      <c r="F167" t="str">
        <f t="shared" si="11"/>
        <v>Affy 1.0 ST</v>
      </c>
      <c r="G167" t="str">
        <f>"MGI:95707"</f>
        <v>MGI:95707</v>
      </c>
      <c r="H167" t="str">
        <f>"Gh"</f>
        <v>Gh</v>
      </c>
      <c r="I167" t="str">
        <f>"growth hormone"</f>
        <v>growth hormone</v>
      </c>
      <c r="J167" t="str">
        <f t="shared" si="12"/>
        <v>protein coding gene</v>
      </c>
    </row>
    <row r="168" spans="1:10">
      <c r="A168">
        <v>10468311</v>
      </c>
      <c r="B168">
        <v>3.1938713079387702</v>
      </c>
      <c r="C168">
        <v>1.8517393448905299</v>
      </c>
      <c r="E168" t="str">
        <f>"10468311"</f>
        <v>10468311</v>
      </c>
      <c r="F168" t="str">
        <f t="shared" si="11"/>
        <v>Affy 1.0 ST</v>
      </c>
      <c r="G168" t="str">
        <f>"MGI:1298393"</f>
        <v>MGI:1298393</v>
      </c>
      <c r="H168" t="str">
        <f>"Sh3pxd2a"</f>
        <v>Sh3pxd2a</v>
      </c>
      <c r="I168" t="str">
        <f>"SH3 and PX domains 2A"</f>
        <v>SH3 and PX domains 2A</v>
      </c>
      <c r="J168" t="str">
        <f t="shared" si="12"/>
        <v>protein coding gene</v>
      </c>
    </row>
    <row r="169" spans="1:10">
      <c r="A169">
        <v>10431170</v>
      </c>
      <c r="B169">
        <v>3.1876236032295902</v>
      </c>
      <c r="C169">
        <v>2.5934675849306301</v>
      </c>
      <c r="E169" t="str">
        <f>"10431170"</f>
        <v>10431170</v>
      </c>
      <c r="F169" t="str">
        <f t="shared" si="11"/>
        <v>Affy 1.0 ST</v>
      </c>
      <c r="G169" t="str">
        <f>"MGI:2444899"</f>
        <v>MGI:2444899</v>
      </c>
      <c r="H169" t="str">
        <f>"5031439G07Rik"</f>
        <v>5031439G07Rik</v>
      </c>
      <c r="I169" t="str">
        <f>"RIKEN cDNA 5031439G07 gene"</f>
        <v>RIKEN cDNA 5031439G07 gene</v>
      </c>
      <c r="J169" t="str">
        <f t="shared" si="12"/>
        <v>protein coding gene</v>
      </c>
    </row>
    <row r="170" spans="1:10">
      <c r="A170">
        <v>10481931</v>
      </c>
      <c r="B170">
        <v>3.1745710689480502</v>
      </c>
      <c r="C170">
        <v>2.1764797750178499</v>
      </c>
      <c r="E170" t="str">
        <f>"10481931"</f>
        <v>10481931</v>
      </c>
      <c r="F170" t="str">
        <f t="shared" si="11"/>
        <v>Affy 1.0 ST</v>
      </c>
      <c r="G170" t="str">
        <f>"MGI:1921266"</f>
        <v>MGI:1921266</v>
      </c>
      <c r="H170" t="str">
        <f>"Phf19"</f>
        <v>Phf19</v>
      </c>
      <c r="I170" t="str">
        <f>"PHD finger protein 19"</f>
        <v>PHD finger protein 19</v>
      </c>
      <c r="J170" t="str">
        <f t="shared" si="12"/>
        <v>protein coding gene</v>
      </c>
    </row>
    <row r="171" spans="1:10">
      <c r="A171">
        <v>10363962</v>
      </c>
      <c r="B171">
        <v>3.1681696720838399</v>
      </c>
      <c r="C171">
        <v>6.4502930795923202E-2</v>
      </c>
      <c r="E171" t="str">
        <f>"10363962"</f>
        <v>10363962</v>
      </c>
      <c r="F171" t="str">
        <f t="shared" si="11"/>
        <v>Affy 1.0 ST</v>
      </c>
      <c r="G171" t="str">
        <f>"MGI:95780"</f>
        <v>MGI:95780</v>
      </c>
      <c r="H171" t="str">
        <f>"Gnaz"</f>
        <v>Gnaz</v>
      </c>
      <c r="I171" t="s">
        <v>746</v>
      </c>
      <c r="J171" t="s">
        <v>2010</v>
      </c>
    </row>
    <row r="172" spans="1:10">
      <c r="A172">
        <v>10365290</v>
      </c>
      <c r="B172">
        <v>3.16755654135327</v>
      </c>
      <c r="C172">
        <v>0.48314952714458997</v>
      </c>
      <c r="E172" t="str">
        <f>"10365290"</f>
        <v>10365290</v>
      </c>
      <c r="F172" t="str">
        <f t="shared" si="11"/>
        <v>Affy 1.0 ST</v>
      </c>
      <c r="G172" t="str">
        <f>"MGI:1927166"</f>
        <v>MGI:1927166</v>
      </c>
      <c r="H172" t="str">
        <f>"Chst11"</f>
        <v>Chst11</v>
      </c>
      <c r="I172" t="str">
        <f>"carbohydrate sulfotransferase 11"</f>
        <v>carbohydrate sulfotransferase 11</v>
      </c>
      <c r="J172" t="str">
        <f>"protein coding gene"</f>
        <v>protein coding gene</v>
      </c>
    </row>
    <row r="173" spans="1:10">
      <c r="A173">
        <v>10513061</v>
      </c>
      <c r="B173">
        <v>3.1623655107092299</v>
      </c>
      <c r="C173">
        <v>1.1517597633825001</v>
      </c>
      <c r="E173" t="str">
        <f>"10513061"</f>
        <v>10513061</v>
      </c>
      <c r="F173" t="str">
        <f t="shared" si="11"/>
        <v>Affy 1.0 ST</v>
      </c>
      <c r="G173" t="str">
        <f>"MGI:1859649"</f>
        <v>MGI:1859649</v>
      </c>
      <c r="H173" t="str">
        <f>"Ctnnal1"</f>
        <v>Ctnnal1</v>
      </c>
      <c r="I173" t="s">
        <v>1385</v>
      </c>
      <c r="J173" t="s">
        <v>2010</v>
      </c>
    </row>
    <row r="174" spans="1:10">
      <c r="A174">
        <v>10386909</v>
      </c>
      <c r="B174">
        <v>3.14126309212467</v>
      </c>
      <c r="C174">
        <v>0.80260346546990602</v>
      </c>
      <c r="E174" t="str">
        <f>"10386909"</f>
        <v>10386909</v>
      </c>
      <c r="F174" t="str">
        <f t="shared" si="11"/>
        <v>Affy 1.0 ST</v>
      </c>
      <c r="G174" t="str">
        <f>"MGI:1920389"</f>
        <v>MGI:1920389</v>
      </c>
      <c r="H174" t="str">
        <f>"Cenpv"</f>
        <v>Cenpv</v>
      </c>
      <c r="I174" t="str">
        <f>"centromere protein V"</f>
        <v>centromere protein V</v>
      </c>
      <c r="J174" t="str">
        <f t="shared" ref="J174:J182" si="13">"protein coding gene"</f>
        <v>protein coding gene</v>
      </c>
    </row>
    <row r="175" spans="1:10">
      <c r="A175">
        <v>10385455</v>
      </c>
      <c r="B175">
        <v>3.12991836108433</v>
      </c>
      <c r="C175">
        <v>0.50232310044239503</v>
      </c>
      <c r="E175" t="str">
        <f>"10385455"</f>
        <v>10385455</v>
      </c>
      <c r="F175" t="str">
        <f t="shared" si="11"/>
        <v>Affy 1.0 ST</v>
      </c>
      <c r="G175" t="str">
        <f>"MGI:2159681"</f>
        <v>MGI:2159681</v>
      </c>
      <c r="H175" t="str">
        <f>"Timd2"</f>
        <v>Timd2</v>
      </c>
      <c r="I175" t="str">
        <f>"T-cell immunoglobulin and mucin domain containing 2"</f>
        <v>T-cell immunoglobulin and mucin domain containing 2</v>
      </c>
      <c r="J175" t="str">
        <f t="shared" si="13"/>
        <v>protein coding gene</v>
      </c>
    </row>
    <row r="176" spans="1:10">
      <c r="A176">
        <v>10418702</v>
      </c>
      <c r="B176">
        <v>3.1160845777660202</v>
      </c>
      <c r="C176">
        <v>2.5048328481843898</v>
      </c>
      <c r="E176" t="str">
        <f>"10418702"</f>
        <v>10418702</v>
      </c>
      <c r="F176" t="str">
        <f t="shared" si="11"/>
        <v>Affy 1.0 ST</v>
      </c>
      <c r="G176" t="str">
        <f>"MGI:1344391"</f>
        <v>MGI:1344391</v>
      </c>
      <c r="H176" t="str">
        <f>"Sh3bp5"</f>
        <v>Sh3bp5</v>
      </c>
      <c r="I176" t="str">
        <f>"SH3-domain binding protein 5 (BTK-associated)"</f>
        <v>SH3-domain binding protein 5 (BTK-associated)</v>
      </c>
      <c r="J176" t="str">
        <f t="shared" si="13"/>
        <v>protein coding gene</v>
      </c>
    </row>
    <row r="177" spans="1:10">
      <c r="A177">
        <v>10435525</v>
      </c>
      <c r="B177">
        <v>3.1098269349581602</v>
      </c>
      <c r="C177">
        <v>0.90589913139551803</v>
      </c>
      <c r="E177" t="str">
        <f>"10435525"</f>
        <v>10435525</v>
      </c>
      <c r="F177" t="str">
        <f t="shared" si="11"/>
        <v>Affy 1.0 ST</v>
      </c>
      <c r="G177" t="str">
        <f>"MGI:2443764"</f>
        <v>MGI:2443764</v>
      </c>
      <c r="H177" t="str">
        <f>"Iqcb1"</f>
        <v>Iqcb1</v>
      </c>
      <c r="I177" t="str">
        <f>"IQ calmodulin-binding motif containing 1"</f>
        <v>IQ calmodulin-binding motif containing 1</v>
      </c>
      <c r="J177" t="str">
        <f t="shared" si="13"/>
        <v>protein coding gene</v>
      </c>
    </row>
    <row r="178" spans="1:10">
      <c r="A178">
        <v>10499431</v>
      </c>
      <c r="B178">
        <v>3.0870734719947102</v>
      </c>
      <c r="C178">
        <v>1.1663168935874</v>
      </c>
      <c r="E178" t="str">
        <f>"10499431"</f>
        <v>10499431</v>
      </c>
      <c r="F178" t="str">
        <f t="shared" si="11"/>
        <v>Affy 1.0 ST</v>
      </c>
      <c r="G178" t="str">
        <f>"MGI:1859547"</f>
        <v>MGI:1859547</v>
      </c>
      <c r="H178" t="str">
        <f>"Syt11"</f>
        <v>Syt11</v>
      </c>
      <c r="I178" t="str">
        <f>"synaptotagmin XI"</f>
        <v>synaptotagmin XI</v>
      </c>
      <c r="J178" t="str">
        <f t="shared" si="13"/>
        <v>protein coding gene</v>
      </c>
    </row>
    <row r="179" spans="1:10">
      <c r="A179">
        <v>10443201</v>
      </c>
      <c r="B179">
        <v>3.0837380058103601</v>
      </c>
      <c r="C179">
        <v>1.2807698794498801</v>
      </c>
      <c r="E179" t="str">
        <f>"10443201"</f>
        <v>10443201</v>
      </c>
      <c r="F179" t="str">
        <f t="shared" si="11"/>
        <v>Affy 1.0 ST</v>
      </c>
      <c r="G179" t="str">
        <f>"MGI:1345181"</f>
        <v>MGI:1345181</v>
      </c>
      <c r="H179" t="str">
        <f>"Pacsin1"</f>
        <v>Pacsin1</v>
      </c>
      <c r="I179" t="str">
        <f>"protein kinase C and casein kinase substrate in neurons 1"</f>
        <v>protein kinase C and casein kinase substrate in neurons 1</v>
      </c>
      <c r="J179" t="str">
        <f t="shared" si="13"/>
        <v>protein coding gene</v>
      </c>
    </row>
    <row r="180" spans="1:10">
      <c r="A180">
        <v>10396640</v>
      </c>
      <c r="B180">
        <v>3.05649224878182</v>
      </c>
      <c r="C180">
        <v>1.3374883855941999</v>
      </c>
      <c r="E180" t="str">
        <f>"10396640"</f>
        <v>10396640</v>
      </c>
      <c r="F180" t="str">
        <f t="shared" si="11"/>
        <v>Affy 1.0 ST</v>
      </c>
      <c r="G180" t="str">
        <f>"MGI:2685104"</f>
        <v>MGI:2685104</v>
      </c>
      <c r="H180" t="str">
        <f>"Akap5"</f>
        <v>Akap5</v>
      </c>
      <c r="I180" t="str">
        <f>"A kinase (PRKA) anchor protein 5"</f>
        <v>A kinase (PRKA) anchor protein 5</v>
      </c>
      <c r="J180" t="str">
        <f t="shared" si="13"/>
        <v>protein coding gene</v>
      </c>
    </row>
    <row r="181" spans="1:10">
      <c r="A181">
        <v>10451710</v>
      </c>
      <c r="B181">
        <v>3.0372910293276401</v>
      </c>
      <c r="C181">
        <v>1.2424469395959401</v>
      </c>
      <c r="E181" t="str">
        <f>"10451710"</f>
        <v>10451710</v>
      </c>
      <c r="F181" t="str">
        <f t="shared" si="11"/>
        <v>Affy 1.0 ST</v>
      </c>
      <c r="G181" t="str">
        <f>"MGI:1923688"</f>
        <v>MGI:1923688</v>
      </c>
      <c r="H181" t="str">
        <f>"Rftn1"</f>
        <v>Rftn1</v>
      </c>
      <c r="I181" t="str">
        <f>"raftlin lipid raft linker 1"</f>
        <v>raftlin lipid raft linker 1</v>
      </c>
      <c r="J181" t="str">
        <f t="shared" si="13"/>
        <v>protein coding gene</v>
      </c>
    </row>
    <row r="182" spans="1:10">
      <c r="A182">
        <v>10551347</v>
      </c>
      <c r="B182">
        <v>3.03471686249335</v>
      </c>
      <c r="C182">
        <v>0.99044972450344004</v>
      </c>
      <c r="E182" t="str">
        <f>"10551347"</f>
        <v>10551347</v>
      </c>
      <c r="F182" t="str">
        <f t="shared" si="11"/>
        <v>Affy 1.0 ST</v>
      </c>
      <c r="G182" t="str">
        <f>"MGI:2385271"</f>
        <v>MGI:2385271</v>
      </c>
      <c r="H182" t="str">
        <f>"Blvrb"</f>
        <v>Blvrb</v>
      </c>
      <c r="I182" t="str">
        <f>"biliverdin reductase B (flavin reductase (NADPH))"</f>
        <v>biliverdin reductase B (flavin reductase (NADPH))</v>
      </c>
      <c r="J182" t="str">
        <f t="shared" si="13"/>
        <v>protein coding gene</v>
      </c>
    </row>
    <row r="183" spans="1:10">
      <c r="A183">
        <v>10446229</v>
      </c>
      <c r="B183">
        <v>3.0202406992330899</v>
      </c>
      <c r="C183">
        <v>0.241636065497708</v>
      </c>
      <c r="E183" t="str">
        <f>"10446229"</f>
        <v>10446229</v>
      </c>
      <c r="F183" t="str">
        <f t="shared" si="11"/>
        <v>Affy 1.0 ST</v>
      </c>
      <c r="G183" t="str">
        <f>"MGI:1101058"</f>
        <v>MGI:1101058</v>
      </c>
      <c r="H183" t="str">
        <f>"Tnfsf9"</f>
        <v>Tnfsf9</v>
      </c>
      <c r="I183" t="s">
        <v>6</v>
      </c>
      <c r="J183" t="s">
        <v>2010</v>
      </c>
    </row>
    <row r="184" spans="1:10">
      <c r="A184">
        <v>10424404</v>
      </c>
      <c r="B184">
        <v>3.0123743283584901</v>
      </c>
      <c r="C184">
        <v>1.32575457541661</v>
      </c>
      <c r="E184" t="str">
        <f>"10424404"</f>
        <v>10424404</v>
      </c>
      <c r="F184" t="str">
        <f t="shared" si="11"/>
        <v>Affy 1.0 ST</v>
      </c>
      <c r="G184" t="str">
        <f>"MGI:97824"</f>
        <v>MGI:97824</v>
      </c>
      <c r="H184" t="str">
        <f>"Pvt1"</f>
        <v>Pvt1</v>
      </c>
      <c r="I184" t="str">
        <f>"plasmacytoma variant translocation 1"</f>
        <v>plasmacytoma variant translocation 1</v>
      </c>
      <c r="J184" t="str">
        <f>"unclassified gene"</f>
        <v>unclassified gene</v>
      </c>
    </row>
    <row r="185" spans="1:10">
      <c r="A185">
        <v>10372844</v>
      </c>
      <c r="B185">
        <v>3.0110456567240198</v>
      </c>
      <c r="C185">
        <v>0.68360304210783596</v>
      </c>
      <c r="E185" t="str">
        <f>"10372844"</f>
        <v>10372844</v>
      </c>
      <c r="F185" t="str">
        <f t="shared" si="11"/>
        <v>Affy 1.0 ST</v>
      </c>
      <c r="G185" t="str">
        <f>"MGI:2179722"</f>
        <v>MGI:2179722</v>
      </c>
      <c r="H185" t="str">
        <f>"Rassf3"</f>
        <v>Rassf3</v>
      </c>
      <c r="I185" t="str">
        <f>"Ras association (RalGDS/AF-6) domain family member 3"</f>
        <v>Ras association (RalGDS/AF-6) domain family member 3</v>
      </c>
      <c r="J185" t="str">
        <f>"protein coding gene"</f>
        <v>protein coding gene</v>
      </c>
    </row>
    <row r="186" spans="1:10">
      <c r="A186">
        <v>10469571</v>
      </c>
      <c r="B186">
        <v>2.99079097518907</v>
      </c>
      <c r="C186">
        <v>1.1595051652822499</v>
      </c>
      <c r="E186" t="str">
        <f>"10469571"</f>
        <v>10469571</v>
      </c>
      <c r="F186" t="str">
        <f t="shared" si="11"/>
        <v>Affy 1.0 ST</v>
      </c>
      <c r="G186" t="str">
        <f>"MGI:1918448"</f>
        <v>MGI:1918448</v>
      </c>
      <c r="H186" t="str">
        <f>"Otud1"</f>
        <v>Otud1</v>
      </c>
      <c r="I186" t="str">
        <f>"OTU domain containing 1"</f>
        <v>OTU domain containing 1</v>
      </c>
      <c r="J186" t="str">
        <f>"protein coding gene"</f>
        <v>protein coding gene</v>
      </c>
    </row>
    <row r="187" spans="1:10">
      <c r="A187">
        <v>10425370</v>
      </c>
      <c r="B187">
        <v>2.9785533596745299</v>
      </c>
      <c r="C187">
        <v>1.1104900278912799</v>
      </c>
      <c r="E187" t="str">
        <f>"10425370"</f>
        <v>10425370</v>
      </c>
      <c r="F187" t="str">
        <f t="shared" si="11"/>
        <v>Affy 1.0 ST</v>
      </c>
      <c r="G187" t="str">
        <f>"MGI:2178051"</f>
        <v>MGI:2178051</v>
      </c>
      <c r="H187" t="str">
        <f>"Cacna1i"</f>
        <v>Cacna1i</v>
      </c>
      <c r="I187" t="s">
        <v>727</v>
      </c>
      <c r="J187" t="s">
        <v>2010</v>
      </c>
    </row>
    <row r="188" spans="1:10">
      <c r="A188">
        <v>10359948</v>
      </c>
      <c r="B188">
        <v>2.9581232257508199</v>
      </c>
      <c r="C188">
        <v>0.40899329865753897</v>
      </c>
      <c r="E188" t="str">
        <f>"10359948"</f>
        <v>10359948</v>
      </c>
      <c r="F188" t="str">
        <f t="shared" si="11"/>
        <v>Affy 1.0 ST</v>
      </c>
      <c r="G188" t="str">
        <f>"MGI:1334459"</f>
        <v>MGI:1334459</v>
      </c>
      <c r="H188" t="str">
        <f>"Uap1"</f>
        <v>Uap1</v>
      </c>
      <c r="I188" t="str">
        <f>"UDP-N-acetylglucosamine pyrophosphorylase 1"</f>
        <v>UDP-N-acetylglucosamine pyrophosphorylase 1</v>
      </c>
      <c r="J188" t="str">
        <f>"protein coding gene"</f>
        <v>protein coding gene</v>
      </c>
    </row>
    <row r="189" spans="1:10">
      <c r="A189">
        <v>10442396</v>
      </c>
      <c r="B189">
        <v>2.95444774563857</v>
      </c>
      <c r="C189">
        <v>0.86146355283611697</v>
      </c>
      <c r="E189" t="str">
        <f>"10442396"</f>
        <v>10442396</v>
      </c>
      <c r="F189" t="str">
        <f t="shared" si="11"/>
        <v>Affy 1.0 ST</v>
      </c>
      <c r="G189" t="str">
        <f>"MGI:1351617"</f>
        <v>MGI:1351617</v>
      </c>
      <c r="H189" t="str">
        <f>"Abca3"</f>
        <v>Abca3</v>
      </c>
      <c r="I189" t="s">
        <v>1531</v>
      </c>
      <c r="J189" t="s">
        <v>2010</v>
      </c>
    </row>
    <row r="190" spans="1:10">
      <c r="A190">
        <v>10404422</v>
      </c>
      <c r="B190">
        <v>2.88933804289546</v>
      </c>
      <c r="C190">
        <v>0.95364413024061001</v>
      </c>
      <c r="E190" t="str">
        <f>"10404422"</f>
        <v>10404422</v>
      </c>
      <c r="F190" t="str">
        <f t="shared" si="11"/>
        <v>Affy 1.0 ST</v>
      </c>
      <c r="G190" t="str">
        <f>"MGI:894688"</f>
        <v>MGI:894688</v>
      </c>
      <c r="H190" t="str">
        <f>"Serpinb6b"</f>
        <v>Serpinb6b</v>
      </c>
      <c r="I190" t="s">
        <v>7</v>
      </c>
      <c r="J190" t="s">
        <v>2010</v>
      </c>
    </row>
    <row r="191" spans="1:10">
      <c r="A191">
        <v>10554370</v>
      </c>
      <c r="B191">
        <v>2.8890348877757699</v>
      </c>
      <c r="C191">
        <v>1.0462730556013999</v>
      </c>
      <c r="E191" t="str">
        <f>"10554370"</f>
        <v>10554370</v>
      </c>
      <c r="F191" t="str">
        <f t="shared" si="11"/>
        <v>Affy 1.0 ST</v>
      </c>
      <c r="G191" t="str">
        <f>"MGI:1921747"</f>
        <v>MGI:1921747</v>
      </c>
      <c r="H191" t="str">
        <f>"Zfp710"</f>
        <v>Zfp710</v>
      </c>
      <c r="I191" t="str">
        <f>"zinc finger protein 710"</f>
        <v>zinc finger protein 710</v>
      </c>
      <c r="J191" t="str">
        <f>"protein coding gene"</f>
        <v>protein coding gene</v>
      </c>
    </row>
    <row r="192" spans="1:10">
      <c r="A192">
        <v>10399965</v>
      </c>
      <c r="B192">
        <v>2.8842181400345401</v>
      </c>
      <c r="C192">
        <v>1.01534162842624</v>
      </c>
      <c r="E192" t="str">
        <f>"10399965"</f>
        <v>10399965</v>
      </c>
      <c r="F192" t="str">
        <f>""</f>
        <v/>
      </c>
      <c r="G192" t="str">
        <f>"No associated gene"</f>
        <v>No associated gene</v>
      </c>
    </row>
    <row r="193" spans="1:10">
      <c r="A193">
        <v>10464448</v>
      </c>
      <c r="B193">
        <v>2.8802407981475202</v>
      </c>
      <c r="C193">
        <v>0.322506389478593</v>
      </c>
      <c r="E193" t="str">
        <f>"10464448"</f>
        <v>10464448</v>
      </c>
      <c r="F193" t="str">
        <f t="shared" ref="F193:F208" si="14">"Affy 1.0 ST"</f>
        <v>Affy 1.0 ST</v>
      </c>
      <c r="G193" t="str">
        <f>"MGI:3643428"</f>
        <v>MGI:3643428</v>
      </c>
      <c r="H193" t="str">
        <f>"Gm6020"</f>
        <v>Gm6020</v>
      </c>
      <c r="I193" t="str">
        <f>"predicted gene 6020"</f>
        <v>predicted gene 6020</v>
      </c>
      <c r="J193" t="str">
        <f>"pseudogene"</f>
        <v>pseudogene</v>
      </c>
    </row>
    <row r="194" spans="1:10">
      <c r="A194">
        <v>10402981</v>
      </c>
      <c r="B194">
        <v>2.8784533990114198</v>
      </c>
      <c r="C194">
        <v>2.2891895672148901E-2</v>
      </c>
      <c r="E194" t="str">
        <f>"10402981"</f>
        <v>10402981</v>
      </c>
      <c r="F194" t="str">
        <f t="shared" si="14"/>
        <v>Affy 1.0 ST</v>
      </c>
      <c r="G194" t="str">
        <f>"MGI:2685746"</f>
        <v>MGI:2685746</v>
      </c>
      <c r="H194" t="str">
        <f>"Gm900"</f>
        <v>Gm900</v>
      </c>
      <c r="I194" t="str">
        <f>"predicted gene 900"</f>
        <v>predicted gene 900</v>
      </c>
      <c r="J194" t="str">
        <f>"protein coding gene"</f>
        <v>protein coding gene</v>
      </c>
    </row>
    <row r="195" spans="1:10">
      <c r="A195">
        <v>10577757</v>
      </c>
      <c r="B195">
        <v>2.8694634922293698</v>
      </c>
      <c r="C195">
        <v>1.2175924781237399</v>
      </c>
      <c r="E195" t="str">
        <f>"10577757"</f>
        <v>10577757</v>
      </c>
      <c r="F195" t="str">
        <f t="shared" si="14"/>
        <v>Affy 1.0 ST</v>
      </c>
      <c r="G195" t="str">
        <f>"MGI:105376"</f>
        <v>MGI:105376</v>
      </c>
      <c r="H195" t="str">
        <f>"Adam9"</f>
        <v>Adam9</v>
      </c>
      <c r="I195" t="str">
        <f>"a disintegrin and metallopeptidase domain 9 (meltrin gamma)"</f>
        <v>a disintegrin and metallopeptidase domain 9 (meltrin gamma)</v>
      </c>
      <c r="J195" t="str">
        <f>"protein coding gene"</f>
        <v>protein coding gene</v>
      </c>
    </row>
    <row r="196" spans="1:10">
      <c r="A196">
        <v>10538842</v>
      </c>
      <c r="B196">
        <v>2.8669542145419999</v>
      </c>
      <c r="C196">
        <v>1.06597505548229</v>
      </c>
      <c r="E196" t="str">
        <f>"10538842"</f>
        <v>10538842</v>
      </c>
      <c r="F196" t="str">
        <f t="shared" si="14"/>
        <v>Affy 1.0 ST</v>
      </c>
      <c r="G196" t="str">
        <f>"MGI:1336171"</f>
        <v>MGI:1336171</v>
      </c>
      <c r="H196" t="str">
        <f>"Gng12"</f>
        <v>Gng12</v>
      </c>
      <c r="I196" t="s">
        <v>92</v>
      </c>
      <c r="J196" t="s">
        <v>2010</v>
      </c>
    </row>
    <row r="197" spans="1:10">
      <c r="A197">
        <v>10412773</v>
      </c>
      <c r="B197">
        <v>2.8609665119872201</v>
      </c>
      <c r="C197">
        <v>1.22610855225546</v>
      </c>
      <c r="E197" t="str">
        <f>"10412773"</f>
        <v>10412773</v>
      </c>
      <c r="F197" t="str">
        <f t="shared" si="14"/>
        <v>Affy 1.0 ST</v>
      </c>
      <c r="G197" t="str">
        <f>"MGI:2443878"</f>
        <v>MGI:2443878</v>
      </c>
      <c r="H197" t="str">
        <f>"Slc4a7"</f>
        <v>Slc4a7</v>
      </c>
      <c r="I197" t="s">
        <v>93</v>
      </c>
      <c r="J197" t="s">
        <v>2010</v>
      </c>
    </row>
    <row r="198" spans="1:10">
      <c r="A198">
        <v>10498332</v>
      </c>
      <c r="B198">
        <v>2.8496770739778898</v>
      </c>
      <c r="C198">
        <v>0.48408437022725798</v>
      </c>
      <c r="E198" t="str">
        <f>"10498332"</f>
        <v>10498332</v>
      </c>
      <c r="F198" t="str">
        <f t="shared" si="14"/>
        <v>Affy 1.0 ST</v>
      </c>
      <c r="G198" t="str">
        <f>"MGI:108062"</f>
        <v>MGI:108062</v>
      </c>
      <c r="H198" t="str">
        <f>"Siah2"</f>
        <v>Siah2</v>
      </c>
      <c r="I198" t="str">
        <f>"seven in absentia 2"</f>
        <v>seven in absentia 2</v>
      </c>
      <c r="J198" t="str">
        <f t="shared" ref="J198:J203" si="15">"protein coding gene"</f>
        <v>protein coding gene</v>
      </c>
    </row>
    <row r="199" spans="1:10">
      <c r="A199">
        <v>10416533</v>
      </c>
      <c r="B199">
        <v>2.84391798782474</v>
      </c>
      <c r="C199">
        <v>0.71750703405525995</v>
      </c>
      <c r="E199" t="str">
        <f>"10416533"</f>
        <v>10416533</v>
      </c>
      <c r="F199" t="str">
        <f t="shared" si="14"/>
        <v>Affy 1.0 ST</v>
      </c>
      <c r="G199" t="str">
        <f>"MGI:1918358"</f>
        <v>MGI:1918358</v>
      </c>
      <c r="H199" t="str">
        <f>"Ccdc122"</f>
        <v>Ccdc122</v>
      </c>
      <c r="I199" t="str">
        <f>"coiled-coil domain containing 122"</f>
        <v>coiled-coil domain containing 122</v>
      </c>
      <c r="J199" t="str">
        <f t="shared" si="15"/>
        <v>protein coding gene</v>
      </c>
    </row>
    <row r="200" spans="1:10">
      <c r="A200">
        <v>10481711</v>
      </c>
      <c r="B200">
        <v>2.8401830252484501</v>
      </c>
      <c r="C200">
        <v>0.84248695862233902</v>
      </c>
      <c r="E200" t="str">
        <f>"10481711"</f>
        <v>10481711</v>
      </c>
      <c r="F200" t="str">
        <f t="shared" si="14"/>
        <v>Affy 1.0 ST</v>
      </c>
      <c r="G200" t="str">
        <f>"MGI:107363"</f>
        <v>MGI:107363</v>
      </c>
      <c r="H200" t="str">
        <f>"Stxbp1"</f>
        <v>Stxbp1</v>
      </c>
      <c r="I200" t="str">
        <f>"syntaxin binding protein 1"</f>
        <v>syntaxin binding protein 1</v>
      </c>
      <c r="J200" t="str">
        <f t="shared" si="15"/>
        <v>protein coding gene</v>
      </c>
    </row>
    <row r="201" spans="1:10">
      <c r="A201">
        <v>10399470</v>
      </c>
      <c r="B201">
        <v>2.8283690400622699</v>
      </c>
      <c r="C201">
        <v>1.8368409324003001</v>
      </c>
      <c r="E201" t="str">
        <f>"10399470"</f>
        <v>10399470</v>
      </c>
      <c r="F201" t="str">
        <f t="shared" si="14"/>
        <v>Affy 1.0 ST</v>
      </c>
      <c r="G201" t="str">
        <f>"MGI:2145021"</f>
        <v>MGI:2145021</v>
      </c>
      <c r="H201" t="str">
        <f>"Trib2"</f>
        <v>Trib2</v>
      </c>
      <c r="I201" t="str">
        <f>"tribbles homolog 2 (Drosophila)"</f>
        <v>tribbles homolog 2 (Drosophila)</v>
      </c>
      <c r="J201" t="str">
        <f t="shared" si="15"/>
        <v>protein coding gene</v>
      </c>
    </row>
    <row r="202" spans="1:10">
      <c r="A202">
        <v>10446656</v>
      </c>
      <c r="B202">
        <v>2.8247076114593401</v>
      </c>
      <c r="C202">
        <v>0.35517598574167702</v>
      </c>
      <c r="E202" t="str">
        <f>"10446656"</f>
        <v>10446656</v>
      </c>
      <c r="F202" t="str">
        <f t="shared" si="14"/>
        <v>Affy 1.0 ST</v>
      </c>
      <c r="G202" t="str">
        <f>"MGI:1891341"</f>
        <v>MGI:1891341</v>
      </c>
      <c r="H202" t="str">
        <f>"Lpin2"</f>
        <v>Lpin2</v>
      </c>
      <c r="I202" t="str">
        <f>"lipin 2"</f>
        <v>lipin 2</v>
      </c>
      <c r="J202" t="str">
        <f t="shared" si="15"/>
        <v>protein coding gene</v>
      </c>
    </row>
    <row r="203" spans="1:10">
      <c r="A203">
        <v>10538939</v>
      </c>
      <c r="B203">
        <v>2.8211235130924002</v>
      </c>
      <c r="C203">
        <v>0.71958841663640005</v>
      </c>
      <c r="E203" t="str">
        <f>"10538939"</f>
        <v>10538939</v>
      </c>
      <c r="F203" t="str">
        <f t="shared" si="14"/>
        <v>Affy 1.0 ST</v>
      </c>
      <c r="G203" t="str">
        <f>"MGI:1341830"</f>
        <v>MGI:1341830</v>
      </c>
      <c r="H203" t="str">
        <f>"Eif2ak3"</f>
        <v>Eif2ak3</v>
      </c>
      <c r="I203" t="str">
        <f>"eukaryotic translation initiation factor 2 alpha kinase 3"</f>
        <v>eukaryotic translation initiation factor 2 alpha kinase 3</v>
      </c>
      <c r="J203" t="str">
        <f t="shared" si="15"/>
        <v>protein coding gene</v>
      </c>
    </row>
    <row r="204" spans="1:10">
      <c r="A204">
        <v>10527158</v>
      </c>
      <c r="B204">
        <v>2.8036210305955702</v>
      </c>
      <c r="C204">
        <v>0.14808993894799</v>
      </c>
      <c r="E204" t="str">
        <f>"10527158"</f>
        <v>10527158</v>
      </c>
      <c r="F204" t="str">
        <f t="shared" si="14"/>
        <v>Affy 1.0 ST</v>
      </c>
      <c r="G204" t="str">
        <f>"MGI:1352745"</f>
        <v>MGI:1352745</v>
      </c>
      <c r="H204" t="str">
        <f>"Fscn1"</f>
        <v>Fscn1</v>
      </c>
      <c r="I204" t="s">
        <v>697</v>
      </c>
      <c r="J204" t="s">
        <v>2010</v>
      </c>
    </row>
    <row r="205" spans="1:10">
      <c r="A205">
        <v>10520362</v>
      </c>
      <c r="B205">
        <v>2.78866713032212</v>
      </c>
      <c r="C205">
        <v>1.15679423274252</v>
      </c>
      <c r="E205" t="str">
        <f>"10520362"</f>
        <v>10520362</v>
      </c>
      <c r="F205" t="str">
        <f t="shared" si="14"/>
        <v>Affy 1.0 ST</v>
      </c>
      <c r="G205" t="str">
        <f>"MGI:1916289"</f>
        <v>MGI:1916289</v>
      </c>
      <c r="H205" t="str">
        <f>"Insig1"</f>
        <v>Insig1</v>
      </c>
      <c r="I205" t="str">
        <f>"insulin induced gene 1"</f>
        <v>insulin induced gene 1</v>
      </c>
      <c r="J205" t="str">
        <f>"protein coding gene"</f>
        <v>protein coding gene</v>
      </c>
    </row>
    <row r="206" spans="1:10">
      <c r="A206">
        <v>10572301</v>
      </c>
      <c r="B206">
        <v>2.7794211781492599</v>
      </c>
      <c r="C206">
        <v>0.421147641453192</v>
      </c>
      <c r="E206" t="str">
        <f>"10572301"</f>
        <v>10572301</v>
      </c>
      <c r="F206" t="str">
        <f t="shared" si="14"/>
        <v>Affy 1.0 ST</v>
      </c>
      <c r="G206" t="str">
        <f>"MGI:104526"</f>
        <v>MGI:104526</v>
      </c>
      <c r="H206" t="str">
        <f>"Mef2b"</f>
        <v>Mef2b</v>
      </c>
      <c r="I206" t="str">
        <f>"myocyte enhancer factor 2B"</f>
        <v>myocyte enhancer factor 2B</v>
      </c>
      <c r="J206" t="str">
        <f>"protein coding gene"</f>
        <v>protein coding gene</v>
      </c>
    </row>
    <row r="207" spans="1:10">
      <c r="A207">
        <v>10598638</v>
      </c>
      <c r="B207">
        <v>2.7680713920706799</v>
      </c>
      <c r="C207">
        <v>1.18007966492537</v>
      </c>
      <c r="E207" t="str">
        <f>"10598638"</f>
        <v>10598638</v>
      </c>
      <c r="F207" t="str">
        <f t="shared" si="14"/>
        <v>Affy 1.0 ST</v>
      </c>
      <c r="G207" t="str">
        <f>"MGI:1915291"</f>
        <v>MGI:1915291</v>
      </c>
      <c r="H207" t="str">
        <f>"Mid1ip1"</f>
        <v>Mid1ip1</v>
      </c>
      <c r="I207" t="str">
        <f>"Mid1 interacting protein 1 (gastrulation specific G12-like (zebrafish))"</f>
        <v>Mid1 interacting protein 1 (gastrulation specific G12-like (zebrafish))</v>
      </c>
      <c r="J207" t="str">
        <f>"protein coding gene"</f>
        <v>protein coding gene</v>
      </c>
    </row>
    <row r="208" spans="1:10">
      <c r="A208">
        <v>10427910</v>
      </c>
      <c r="B208">
        <v>2.76791769842862</v>
      </c>
      <c r="C208">
        <v>0.92175280370037505</v>
      </c>
      <c r="E208" t="str">
        <f>"10427910"</f>
        <v>10427910</v>
      </c>
      <c r="F208" t="str">
        <f t="shared" si="14"/>
        <v>Affy 1.0 ST</v>
      </c>
      <c r="G208" t="str">
        <f>"MGI:3577015"</f>
        <v>MGI:3577015</v>
      </c>
      <c r="H208" t="str">
        <f>"Fam105b"</f>
        <v>Fam105b</v>
      </c>
      <c r="I208" t="s">
        <v>276</v>
      </c>
      <c r="J208" t="s">
        <v>2010</v>
      </c>
    </row>
    <row r="209" spans="1:10">
      <c r="A209">
        <v>10504054</v>
      </c>
      <c r="B209">
        <v>2.76123213599478</v>
      </c>
      <c r="C209">
        <v>0.23281092929486699</v>
      </c>
      <c r="E209" t="str">
        <f>"10504054"</f>
        <v>10504054</v>
      </c>
      <c r="F209" t="str">
        <f>""</f>
        <v/>
      </c>
      <c r="G209" t="str">
        <f>"No associated gene"</f>
        <v>No associated gene</v>
      </c>
    </row>
    <row r="210" spans="1:10">
      <c r="A210">
        <v>10399540</v>
      </c>
      <c r="B210">
        <v>2.7609184099464601</v>
      </c>
      <c r="C210">
        <v>0.73350009898123703</v>
      </c>
      <c r="E210" t="str">
        <f>"10399540"</f>
        <v>10399540</v>
      </c>
      <c r="F210" t="str">
        <f t="shared" ref="F210:F224" si="16">"Affy 1.0 ST"</f>
        <v>Affy 1.0 ST</v>
      </c>
      <c r="G210" t="str">
        <f>"MGI:2444067"</f>
        <v>MGI:2444067</v>
      </c>
      <c r="H210" t="str">
        <f>"Pqlc3"</f>
        <v>Pqlc3</v>
      </c>
      <c r="I210" t="str">
        <f>"PQ loop repeat containing"</f>
        <v>PQ loop repeat containing</v>
      </c>
      <c r="J210" t="str">
        <f>"protein coding gene"</f>
        <v>protein coding gene</v>
      </c>
    </row>
    <row r="211" spans="1:10">
      <c r="A211">
        <v>10571312</v>
      </c>
      <c r="B211">
        <v>2.7338263535024199</v>
      </c>
      <c r="C211">
        <v>0.95962948749313304</v>
      </c>
      <c r="E211" t="str">
        <f>"10571312"</f>
        <v>10571312</v>
      </c>
      <c r="F211" t="str">
        <f t="shared" si="16"/>
        <v>Affy 1.0 ST</v>
      </c>
      <c r="G211" t="str">
        <f>"MGI:2442191"</f>
        <v>MGI:2442191</v>
      </c>
      <c r="H211" t="str">
        <f>"Dusp4"</f>
        <v>Dusp4</v>
      </c>
      <c r="I211" t="str">
        <f>"dual specificity phosphatase 4"</f>
        <v>dual specificity phosphatase 4</v>
      </c>
      <c r="J211" t="str">
        <f>"protein coding gene"</f>
        <v>protein coding gene</v>
      </c>
    </row>
    <row r="212" spans="1:10">
      <c r="A212">
        <v>10422598</v>
      </c>
      <c r="B212">
        <v>2.73147927059832</v>
      </c>
      <c r="C212">
        <v>0.72449958321086205</v>
      </c>
      <c r="E212" t="str">
        <f>"10422598"</f>
        <v>10422598</v>
      </c>
      <c r="F212" t="str">
        <f t="shared" si="16"/>
        <v>Affy 1.0 ST</v>
      </c>
      <c r="G212" t="str">
        <f>"MGI:894288"</f>
        <v>MGI:894288</v>
      </c>
      <c r="H212" t="str">
        <f>"Sepp1"</f>
        <v>Sepp1</v>
      </c>
      <c r="I212" t="s">
        <v>1084</v>
      </c>
      <c r="J212" t="s">
        <v>2010</v>
      </c>
    </row>
    <row r="213" spans="1:10">
      <c r="A213">
        <v>10401343</v>
      </c>
      <c r="B213">
        <v>2.72778665850799</v>
      </c>
      <c r="C213">
        <v>1.0596787131826</v>
      </c>
      <c r="E213" t="str">
        <f>"10401343"</f>
        <v>10401343</v>
      </c>
      <c r="F213" t="str">
        <f t="shared" si="16"/>
        <v>Affy 1.0 ST</v>
      </c>
      <c r="G213" t="str">
        <f>"MGI:2449952"</f>
        <v>MGI:2449952</v>
      </c>
      <c r="H213" t="str">
        <f>"Map3k9"</f>
        <v>Map3k9</v>
      </c>
      <c r="I213" t="str">
        <f>"mitogen-activated protein kinase kinase kinase 9"</f>
        <v>mitogen-activated protein kinase kinase kinase 9</v>
      </c>
      <c r="J213" t="str">
        <f>"protein coding gene"</f>
        <v>protein coding gene</v>
      </c>
    </row>
    <row r="214" spans="1:10">
      <c r="A214">
        <v>10448925</v>
      </c>
      <c r="B214">
        <v>2.7186589457753998</v>
      </c>
      <c r="C214">
        <v>5.3997336552786997E-2</v>
      </c>
      <c r="E214" t="str">
        <f>"10448925"</f>
        <v>10448925</v>
      </c>
      <c r="F214" t="str">
        <f t="shared" si="16"/>
        <v>Affy 1.0 ST</v>
      </c>
      <c r="G214" t="str">
        <f>"MGI:1928842"</f>
        <v>MGI:1928842</v>
      </c>
      <c r="H214" t="str">
        <f>"Cacna1h"</f>
        <v>Cacna1h</v>
      </c>
      <c r="I214" t="s">
        <v>840</v>
      </c>
      <c r="J214" t="s">
        <v>2010</v>
      </c>
    </row>
    <row r="215" spans="1:10">
      <c r="A215">
        <v>10468309</v>
      </c>
      <c r="B215">
        <v>2.7184063148426501</v>
      </c>
      <c r="C215">
        <v>1.6403013336630099</v>
      </c>
      <c r="E215" t="str">
        <f>"10468309"</f>
        <v>10468309</v>
      </c>
      <c r="F215" t="str">
        <f t="shared" si="16"/>
        <v>Affy 1.0 ST</v>
      </c>
      <c r="G215" t="str">
        <f>"MGI:1916883"</f>
        <v>MGI:1916883</v>
      </c>
      <c r="H215" t="str">
        <f>"2310014D11Rik"</f>
        <v>2310014D11Rik</v>
      </c>
      <c r="I215" t="str">
        <f>"RIKEN cDNA 2310014D11 gene"</f>
        <v>RIKEN cDNA 2310014D11 gene</v>
      </c>
      <c r="J215" t="str">
        <f>"unclassified gene"</f>
        <v>unclassified gene</v>
      </c>
    </row>
    <row r="216" spans="1:10">
      <c r="A216">
        <v>10530163</v>
      </c>
      <c r="B216">
        <v>2.7015599915591202</v>
      </c>
      <c r="C216">
        <v>1.84811522390668</v>
      </c>
      <c r="E216" t="str">
        <f>"10530163"</f>
        <v>10530163</v>
      </c>
      <c r="F216" t="str">
        <f t="shared" si="16"/>
        <v>Affy 1.0 ST</v>
      </c>
      <c r="G216" t="str">
        <f>"MGI:97891"</f>
        <v>MGI:97891</v>
      </c>
      <c r="H216" t="str">
        <f>"Rfc1"</f>
        <v>Rfc1</v>
      </c>
      <c r="I216" t="str">
        <f>"replication factor C (activator 1) 1"</f>
        <v>replication factor C (activator 1) 1</v>
      </c>
      <c r="J216" t="str">
        <f>"protein coding gene"</f>
        <v>protein coding gene</v>
      </c>
    </row>
    <row r="217" spans="1:10">
      <c r="A217">
        <v>10485562</v>
      </c>
      <c r="B217">
        <v>2.68081096094014</v>
      </c>
      <c r="C217">
        <v>0.222417898524225</v>
      </c>
      <c r="E217" t="str">
        <f>"10485562"</f>
        <v>10485562</v>
      </c>
      <c r="F217" t="str">
        <f t="shared" si="16"/>
        <v>Affy 1.0 ST</v>
      </c>
      <c r="G217" t="str">
        <f>"MGI:1314882"</f>
        <v>MGI:1314882</v>
      </c>
      <c r="H217" t="str">
        <f>"Hipk3"</f>
        <v>Hipk3</v>
      </c>
      <c r="I217" t="str">
        <f>"homeodomain interacting protein kinase 3"</f>
        <v>homeodomain interacting protein kinase 3</v>
      </c>
      <c r="J217" t="str">
        <f>"protein coding gene"</f>
        <v>protein coding gene</v>
      </c>
    </row>
    <row r="218" spans="1:10">
      <c r="A218">
        <v>10602385</v>
      </c>
      <c r="B218">
        <v>2.67650987093598</v>
      </c>
      <c r="C218">
        <v>0.62517172105650398</v>
      </c>
      <c r="E218" t="str">
        <f>"10602385"</f>
        <v>10602385</v>
      </c>
      <c r="F218" t="str">
        <f t="shared" si="16"/>
        <v>Affy 1.0 ST</v>
      </c>
      <c r="G218" t="str">
        <f>"MGI:107816"</f>
        <v>MGI:107816</v>
      </c>
      <c r="H218" t="str">
        <f>"Pfkfb1"</f>
        <v>Pfkfb1</v>
      </c>
      <c r="I218" t="s">
        <v>644</v>
      </c>
      <c r="J218" t="s">
        <v>2010</v>
      </c>
    </row>
    <row r="219" spans="1:10">
      <c r="A219">
        <v>10599612</v>
      </c>
      <c r="B219">
        <v>2.6573313098935998</v>
      </c>
      <c r="C219">
        <v>0.89979363459418304</v>
      </c>
      <c r="E219" t="str">
        <f>"10599612"</f>
        <v>10599612</v>
      </c>
      <c r="F219" t="str">
        <f t="shared" si="16"/>
        <v>Affy 1.0 ST</v>
      </c>
      <c r="G219" t="str">
        <f>"MGI:1918248"</f>
        <v>MGI:1918248</v>
      </c>
      <c r="H219" t="str">
        <f>"Phf6"</f>
        <v>Phf6</v>
      </c>
      <c r="I219" t="str">
        <f>"PHD finger protein 6"</f>
        <v>PHD finger protein 6</v>
      </c>
      <c r="J219" t="str">
        <f>"protein coding gene"</f>
        <v>protein coding gene</v>
      </c>
    </row>
    <row r="220" spans="1:10">
      <c r="A220">
        <v>10605766</v>
      </c>
      <c r="B220">
        <v>2.6521857635995998</v>
      </c>
      <c r="C220">
        <v>0.43609688625075799</v>
      </c>
      <c r="E220" t="str">
        <f>"10605766"</f>
        <v>10605766</v>
      </c>
      <c r="F220" t="str">
        <f t="shared" si="16"/>
        <v>Affy 1.0 ST</v>
      </c>
      <c r="G220" t="str">
        <f>"MGI:1930187"</f>
        <v>MGI:1930187</v>
      </c>
      <c r="H220" t="str">
        <f>"Maged1"</f>
        <v>Maged1</v>
      </c>
      <c r="I220" t="s">
        <v>1139</v>
      </c>
      <c r="J220" t="s">
        <v>2010</v>
      </c>
    </row>
    <row r="221" spans="1:10">
      <c r="A221">
        <v>10353947</v>
      </c>
      <c r="B221">
        <v>2.6280361611323801</v>
      </c>
      <c r="C221">
        <v>0.92737332814526197</v>
      </c>
      <c r="E221" t="str">
        <f>"10353947"</f>
        <v>10353947</v>
      </c>
      <c r="F221" t="str">
        <f t="shared" si="16"/>
        <v>Affy 1.0 ST</v>
      </c>
      <c r="G221" t="str">
        <f>"MGI:1927110"</f>
        <v>MGI:1927110</v>
      </c>
      <c r="H221" t="str">
        <f>"Tmem131"</f>
        <v>Tmem131</v>
      </c>
      <c r="I221" t="str">
        <f>"transmembrane protein 131"</f>
        <v>transmembrane protein 131</v>
      </c>
      <c r="J221" t="str">
        <f>"protein coding gene"</f>
        <v>protein coding gene</v>
      </c>
    </row>
    <row r="222" spans="1:10">
      <c r="A222">
        <v>10566067</v>
      </c>
      <c r="B222">
        <v>2.6260035829678801</v>
      </c>
      <c r="C222">
        <v>0.20139412967530501</v>
      </c>
      <c r="E222" t="str">
        <f>"10566067"</f>
        <v>10566067</v>
      </c>
      <c r="F222" t="str">
        <f t="shared" si="16"/>
        <v>Affy 1.0 ST</v>
      </c>
      <c r="G222" t="str">
        <f>"MGI:1922462"</f>
        <v>MGI:1922462</v>
      </c>
      <c r="H222" t="str">
        <f>"Rnf121"</f>
        <v>Rnf121</v>
      </c>
      <c r="I222" t="str">
        <f>"ring finger protein 121"</f>
        <v>ring finger protein 121</v>
      </c>
      <c r="J222" t="str">
        <f>"protein coding gene"</f>
        <v>protein coding gene</v>
      </c>
    </row>
    <row r="223" spans="1:10">
      <c r="A223">
        <v>10588243</v>
      </c>
      <c r="B223">
        <v>2.6219259074426802</v>
      </c>
      <c r="C223">
        <v>0.62095082893984499</v>
      </c>
      <c r="E223" t="str">
        <f>"10588243"</f>
        <v>10588243</v>
      </c>
      <c r="F223" t="str">
        <f t="shared" si="16"/>
        <v>Affy 1.0 ST</v>
      </c>
      <c r="G223" t="str">
        <f>"MGI:101766"</f>
        <v>MGI:101766</v>
      </c>
      <c r="H223" t="str">
        <f>"Ryk"</f>
        <v>Ryk</v>
      </c>
      <c r="I223" t="str">
        <f>"receptor-like tyrosine kinase"</f>
        <v>receptor-like tyrosine kinase</v>
      </c>
      <c r="J223" t="str">
        <f>"protein coding gene"</f>
        <v>protein coding gene</v>
      </c>
    </row>
    <row r="224" spans="1:10">
      <c r="A224">
        <v>10470564</v>
      </c>
      <c r="B224">
        <v>2.6213888442748399</v>
      </c>
      <c r="C224">
        <v>0.79495671580351401</v>
      </c>
      <c r="E224" t="str">
        <f>"10470564"</f>
        <v>10470564</v>
      </c>
      <c r="F224" t="str">
        <f t="shared" si="16"/>
        <v>Affy 1.0 ST</v>
      </c>
      <c r="G224" t="str">
        <f>"MGI:107485"</f>
        <v>MGI:107485</v>
      </c>
      <c r="H224" t="str">
        <f>"Ralgds"</f>
        <v>Ralgds</v>
      </c>
      <c r="I224" t="str">
        <f>"ral guanine nucleotide dissociation stimulator"</f>
        <v>ral guanine nucleotide dissociation stimulator</v>
      </c>
      <c r="J224" t="str">
        <f>"protein coding gene"</f>
        <v>protein coding gene</v>
      </c>
    </row>
    <row r="225" spans="1:10">
      <c r="A225">
        <v>10343119</v>
      </c>
      <c r="B225">
        <v>2.6079491488032498</v>
      </c>
      <c r="C225">
        <v>0.18960742511236001</v>
      </c>
      <c r="E225" t="str">
        <f>"10343119"</f>
        <v>10343119</v>
      </c>
      <c r="F225" t="str">
        <f>""</f>
        <v/>
      </c>
      <c r="G225" t="str">
        <f>"No associated gene"</f>
        <v>No associated gene</v>
      </c>
    </row>
    <row r="226" spans="1:10">
      <c r="A226">
        <v>10418846</v>
      </c>
      <c r="B226">
        <v>2.5830066549884698</v>
      </c>
      <c r="C226">
        <v>0.36949006523022898</v>
      </c>
      <c r="E226" t="str">
        <f>"10418846"</f>
        <v>10418846</v>
      </c>
      <c r="F226" t="str">
        <f t="shared" ref="F226:F234" si="17">"Affy 1.0 ST"</f>
        <v>Affy 1.0 ST</v>
      </c>
      <c r="G226" t="str">
        <f>"MGI:3588196"</f>
        <v>MGI:3588196</v>
      </c>
      <c r="H226" t="str">
        <f>"3425401B19Rik"</f>
        <v>3425401B19Rik</v>
      </c>
      <c r="I226" t="str">
        <f>"RIKEN cDNA 3425401B19 gene"</f>
        <v>RIKEN cDNA 3425401B19 gene</v>
      </c>
      <c r="J226" t="str">
        <f>"protein coding gene"</f>
        <v>protein coding gene</v>
      </c>
    </row>
    <row r="227" spans="1:10">
      <c r="A227">
        <v>10503845</v>
      </c>
      <c r="B227">
        <v>2.58096753825791</v>
      </c>
      <c r="C227">
        <v>0.513084262409502</v>
      </c>
      <c r="E227" t="str">
        <f>"10503845"</f>
        <v>10503845</v>
      </c>
      <c r="F227" t="str">
        <f t="shared" si="17"/>
        <v>Affy 1.0 ST</v>
      </c>
      <c r="G227" t="str">
        <f>"MGI:1926245"</f>
        <v>MGI:1926245</v>
      </c>
      <c r="H227" t="str">
        <f>"Ube2j1"</f>
        <v>Ube2j1</v>
      </c>
      <c r="I227" t="s">
        <v>743</v>
      </c>
      <c r="J227" t="s">
        <v>2010</v>
      </c>
    </row>
    <row r="228" spans="1:10">
      <c r="A228">
        <v>10532753</v>
      </c>
      <c r="B228">
        <v>2.5805490246915501</v>
      </c>
      <c r="C228">
        <v>1.5400602198581901</v>
      </c>
      <c r="E228" t="str">
        <f>"10532753"</f>
        <v>10532753</v>
      </c>
      <c r="F228" t="str">
        <f t="shared" si="17"/>
        <v>Affy 1.0 ST</v>
      </c>
      <c r="G228" t="str">
        <f>"MGI:1345964"</f>
        <v>MGI:1345964</v>
      </c>
      <c r="H228" t="str">
        <f>"Coro1c"</f>
        <v>Coro1c</v>
      </c>
      <c r="I228" t="s">
        <v>1997</v>
      </c>
      <c r="J228" t="s">
        <v>2010</v>
      </c>
    </row>
    <row r="229" spans="1:10">
      <c r="A229">
        <v>10594812</v>
      </c>
      <c r="B229">
        <v>2.5769949119879301</v>
      </c>
      <c r="C229">
        <v>0.69968236756130997</v>
      </c>
      <c r="E229" t="str">
        <f>"10594812"</f>
        <v>10594812</v>
      </c>
      <c r="F229" t="str">
        <f t="shared" si="17"/>
        <v>Affy 1.0 ST</v>
      </c>
      <c r="G229" t="str">
        <f>"MGI:96216"</f>
        <v>MGI:96216</v>
      </c>
      <c r="H229" t="str">
        <f>"Lipc"</f>
        <v>Lipc</v>
      </c>
      <c r="I229" t="s">
        <v>2248</v>
      </c>
      <c r="J229" t="s">
        <v>2010</v>
      </c>
    </row>
    <row r="230" spans="1:10">
      <c r="A230">
        <v>10601326</v>
      </c>
      <c r="B230">
        <v>2.5643543112811198</v>
      </c>
      <c r="C230">
        <v>0.82809098986168195</v>
      </c>
      <c r="E230" t="str">
        <f>"10601326"</f>
        <v>10601326</v>
      </c>
      <c r="F230" t="str">
        <f t="shared" si="17"/>
        <v>Affy 1.0 ST</v>
      </c>
      <c r="G230" t="str">
        <f>"MGI:2685620"</f>
        <v>MGI:2685620</v>
      </c>
      <c r="H230" t="str">
        <f>"Uprt"</f>
        <v>Uprt</v>
      </c>
      <c r="I230" t="str">
        <f>"uracil phosphoribosyltransferase (FUR1) homolog (S. cerevisiae)"</f>
        <v>uracil phosphoribosyltransferase (FUR1) homolog (S. cerevisiae)</v>
      </c>
      <c r="J230" t="str">
        <f>"protein coding gene"</f>
        <v>protein coding gene</v>
      </c>
    </row>
    <row r="231" spans="1:10">
      <c r="A231">
        <v>10353549</v>
      </c>
      <c r="B231">
        <v>2.5587449356445</v>
      </c>
      <c r="C231">
        <v>0.29039761183317703</v>
      </c>
      <c r="E231" t="str">
        <f>"10353549"</f>
        <v>10353549</v>
      </c>
      <c r="F231" t="str">
        <f t="shared" si="17"/>
        <v>Affy 1.0 ST</v>
      </c>
      <c r="G231" t="str">
        <f>"MGI:1915437"</f>
        <v>MGI:1915437</v>
      </c>
      <c r="H231" t="str">
        <f>"Fam135a"</f>
        <v>Fam135a</v>
      </c>
      <c r="I231" t="s">
        <v>680</v>
      </c>
      <c r="J231" t="s">
        <v>2010</v>
      </c>
    </row>
    <row r="232" spans="1:10">
      <c r="A232">
        <v>10359339</v>
      </c>
      <c r="B232">
        <v>2.5563166084956399</v>
      </c>
      <c r="C232">
        <v>0.607414361382693</v>
      </c>
      <c r="E232" t="str">
        <f>"10359339"</f>
        <v>10359339</v>
      </c>
      <c r="F232" t="str">
        <f t="shared" si="17"/>
        <v>Affy 1.0 ST</v>
      </c>
      <c r="G232" t="str">
        <f>"MGI:1352507"</f>
        <v>MGI:1352507</v>
      </c>
      <c r="H232" t="str">
        <f>"Rabgap1l"</f>
        <v>Rabgap1l</v>
      </c>
      <c r="I232" t="str">
        <f>"RAB GTPase activating protein 1-like"</f>
        <v>RAB GTPase activating protein 1-like</v>
      </c>
      <c r="J232" t="str">
        <f>"protein coding gene"</f>
        <v>protein coding gene</v>
      </c>
    </row>
    <row r="233" spans="1:10">
      <c r="A233">
        <v>10352320</v>
      </c>
      <c r="B233">
        <v>2.55123789156529</v>
      </c>
      <c r="C233">
        <v>0.62073129982327502</v>
      </c>
      <c r="E233" t="str">
        <f>"10352320"</f>
        <v>10352320</v>
      </c>
      <c r="F233" t="str">
        <f t="shared" si="17"/>
        <v>Affy 1.0 ST</v>
      </c>
      <c r="G233" t="str">
        <f>"MGI:2384789"</f>
        <v>MGI:2384789</v>
      </c>
      <c r="H233" t="str">
        <f>"Tmem63a"</f>
        <v>Tmem63a</v>
      </c>
      <c r="I233" t="str">
        <f>"transmembrane protein 63a"</f>
        <v>transmembrane protein 63a</v>
      </c>
      <c r="J233" t="str">
        <f>"protein coding gene"</f>
        <v>protein coding gene</v>
      </c>
    </row>
    <row r="234" spans="1:10">
      <c r="A234">
        <v>10345548</v>
      </c>
      <c r="B234">
        <v>2.5467100196739398</v>
      </c>
      <c r="C234">
        <v>0.34789607628490099</v>
      </c>
      <c r="E234" t="str">
        <f>"10345548"</f>
        <v>10345548</v>
      </c>
      <c r="F234" t="str">
        <f t="shared" si="17"/>
        <v>Affy 1.0 ST</v>
      </c>
      <c r="G234" t="str">
        <f>"MGI:1918103"</f>
        <v>MGI:1918103</v>
      </c>
      <c r="H234" t="str">
        <f>"Vwa3b"</f>
        <v>Vwa3b</v>
      </c>
      <c r="I234" t="str">
        <f>"von Willebrand factor A domain containing 3B"</f>
        <v>von Willebrand factor A domain containing 3B</v>
      </c>
      <c r="J234" t="str">
        <f>"protein coding gene"</f>
        <v>protein coding gene</v>
      </c>
    </row>
    <row r="235" spans="1:10">
      <c r="A235">
        <v>10353989</v>
      </c>
      <c r="B235">
        <v>2.5432248376584901</v>
      </c>
      <c r="C235">
        <v>0.88758168909336399</v>
      </c>
      <c r="E235" t="str">
        <f>"10353989"</f>
        <v>10353989</v>
      </c>
      <c r="F235" t="str">
        <f>""</f>
        <v/>
      </c>
      <c r="G235" t="str">
        <f>"No associated gene"</f>
        <v>No associated gene</v>
      </c>
    </row>
    <row r="236" spans="1:10">
      <c r="A236">
        <v>10465804</v>
      </c>
      <c r="B236">
        <v>2.54012344321711</v>
      </c>
      <c r="C236">
        <v>0.49299409767190999</v>
      </c>
      <c r="E236" t="str">
        <f>"10465804"</f>
        <v>10465804</v>
      </c>
      <c r="F236" t="str">
        <f t="shared" ref="F236:F263" si="18">"Affy 1.0 ST"</f>
        <v>Affy 1.0 ST</v>
      </c>
      <c r="G236" t="str">
        <f>"MGI:1914960"</f>
        <v>MGI:1914960</v>
      </c>
      <c r="H236" t="str">
        <f>"Polr2g"</f>
        <v>Polr2g</v>
      </c>
      <c r="I236" t="str">
        <f>"polymerase (RNA) II (DNA directed) polypeptide G"</f>
        <v>polymerase (RNA) II (DNA directed) polypeptide G</v>
      </c>
      <c r="J236" t="str">
        <f>"protein coding gene"</f>
        <v>protein coding gene</v>
      </c>
    </row>
    <row r="237" spans="1:10">
      <c r="A237">
        <v>10525893</v>
      </c>
      <c r="B237">
        <v>2.5285633301753099</v>
      </c>
      <c r="C237">
        <v>0.13375439368259401</v>
      </c>
      <c r="E237" t="str">
        <f>"10525893"</f>
        <v>10525893</v>
      </c>
      <c r="F237" t="str">
        <f t="shared" si="18"/>
        <v>Affy 1.0 ST</v>
      </c>
      <c r="G237" t="str">
        <f>"MGI:1926144"</f>
        <v>MGI:1926144</v>
      </c>
      <c r="H237" t="str">
        <f>"Aacs"</f>
        <v>Aacs</v>
      </c>
      <c r="I237" t="str">
        <f>"acetoacetyl-CoA synthetase"</f>
        <v>acetoacetyl-CoA synthetase</v>
      </c>
      <c r="J237" t="str">
        <f>"protein coding gene"</f>
        <v>protein coding gene</v>
      </c>
    </row>
    <row r="238" spans="1:10">
      <c r="A238">
        <v>10514366</v>
      </c>
      <c r="B238">
        <v>2.5214497719991402</v>
      </c>
      <c r="C238">
        <v>0.86170245714723803</v>
      </c>
      <c r="E238" t="str">
        <f>"10514366"</f>
        <v>10514366</v>
      </c>
      <c r="F238" t="str">
        <f t="shared" si="18"/>
        <v>Affy 1.0 ST</v>
      </c>
      <c r="G238" t="str">
        <f>"MGI:1353653"</f>
        <v>MGI:1353653</v>
      </c>
      <c r="H238" t="str">
        <f>"Glrx3"</f>
        <v>Glrx3</v>
      </c>
      <c r="I238" t="str">
        <f>"glutaredoxin 3"</f>
        <v>glutaredoxin 3</v>
      </c>
      <c r="J238" t="str">
        <f>"protein coding gene"</f>
        <v>protein coding gene</v>
      </c>
    </row>
    <row r="239" spans="1:10">
      <c r="A239">
        <v>10577655</v>
      </c>
      <c r="B239">
        <v>2.5206038481503898</v>
      </c>
      <c r="C239">
        <v>0.27401521632943798</v>
      </c>
      <c r="E239" t="str">
        <f>"10577655"</f>
        <v>10577655</v>
      </c>
      <c r="F239" t="str">
        <f t="shared" si="18"/>
        <v>Affy 1.0 ST</v>
      </c>
      <c r="G239" t="str">
        <f>"MGI:96416"</f>
        <v>MGI:96416</v>
      </c>
      <c r="H239" t="str">
        <f>"Ido1"</f>
        <v>Ido1</v>
      </c>
      <c r="I239" t="s">
        <v>523</v>
      </c>
      <c r="J239" t="s">
        <v>2010</v>
      </c>
    </row>
    <row r="240" spans="1:10">
      <c r="A240">
        <v>10361828</v>
      </c>
      <c r="B240">
        <v>2.5138188515180402</v>
      </c>
      <c r="C240">
        <v>0.74299500641479499</v>
      </c>
      <c r="E240" t="str">
        <f>"10361828"</f>
        <v>10361828</v>
      </c>
      <c r="F240" t="str">
        <f t="shared" si="18"/>
        <v>Affy 1.0 ST</v>
      </c>
      <c r="G240" t="str">
        <f>"MGI:1306784"</f>
        <v>MGI:1306784</v>
      </c>
      <c r="H240" t="str">
        <f>"Cited2"</f>
        <v>Cited2</v>
      </c>
      <c r="I240" t="s">
        <v>94</v>
      </c>
      <c r="J240" t="s">
        <v>2010</v>
      </c>
    </row>
    <row r="241" spans="1:10">
      <c r="A241">
        <v>10594758</v>
      </c>
      <c r="B241">
        <v>2.5076687501999499</v>
      </c>
      <c r="C241">
        <v>0.22008485250059501</v>
      </c>
      <c r="E241" t="str">
        <f>"10594758"</f>
        <v>10594758</v>
      </c>
      <c r="F241" t="str">
        <f t="shared" si="18"/>
        <v>Affy 1.0 ST</v>
      </c>
      <c r="G241" t="str">
        <f>"MGI:1919327"</f>
        <v>MGI:1919327</v>
      </c>
      <c r="H241" t="str">
        <f>"Gcnt3"</f>
        <v>Gcnt3</v>
      </c>
      <c r="I241" t="s">
        <v>2246</v>
      </c>
      <c r="J241" t="s">
        <v>2010</v>
      </c>
    </row>
    <row r="242" spans="1:10">
      <c r="A242">
        <v>10456566</v>
      </c>
      <c r="B242">
        <v>2.4983137708854799</v>
      </c>
      <c r="C242">
        <v>0.74550308466269399</v>
      </c>
      <c r="E242" t="str">
        <f>"10456566"</f>
        <v>10456566</v>
      </c>
      <c r="F242" t="str">
        <f t="shared" si="18"/>
        <v>Affy 1.0 ST</v>
      </c>
      <c r="G242" t="str">
        <f>"MGI:1333813"</f>
        <v>MGI:1333813</v>
      </c>
      <c r="H242" t="str">
        <f>"Mbd2"</f>
        <v>Mbd2</v>
      </c>
      <c r="I242" t="str">
        <f>"methyl-CpG binding domain protein 2"</f>
        <v>methyl-CpG binding domain protein 2</v>
      </c>
      <c r="J242" t="str">
        <f>"protein coding gene"</f>
        <v>protein coding gene</v>
      </c>
    </row>
    <row r="243" spans="1:10">
      <c r="A243">
        <v>10478196</v>
      </c>
      <c r="B243">
        <v>2.4969908570632402</v>
      </c>
      <c r="C243">
        <v>1.2347804472731301</v>
      </c>
      <c r="E243" t="str">
        <f>"10478196"</f>
        <v>10478196</v>
      </c>
      <c r="F243" t="str">
        <f t="shared" si="18"/>
        <v>Affy 1.0 ST</v>
      </c>
      <c r="G243" t="str">
        <f>"MGI:98788"</f>
        <v>MGI:98788</v>
      </c>
      <c r="H243" t="str">
        <f>"Top1"</f>
        <v>Top1</v>
      </c>
      <c r="I243" t="str">
        <f>"topoisomerase (DNA) I"</f>
        <v>topoisomerase (DNA) I</v>
      </c>
      <c r="J243" t="str">
        <f>"protein coding gene"</f>
        <v>protein coding gene</v>
      </c>
    </row>
    <row r="244" spans="1:10">
      <c r="A244">
        <v>10600765</v>
      </c>
      <c r="B244">
        <v>2.4916264834763999</v>
      </c>
      <c r="C244">
        <v>0.29960065867484498</v>
      </c>
      <c r="E244" t="str">
        <f>"10600765"</f>
        <v>10600765</v>
      </c>
      <c r="F244" t="str">
        <f t="shared" si="18"/>
        <v>Affy 1.0 ST</v>
      </c>
      <c r="G244" t="str">
        <f>"MGI:2147987"</f>
        <v>MGI:2147987</v>
      </c>
      <c r="H244" t="str">
        <f>"Pcyt1b"</f>
        <v>Pcyt1b</v>
      </c>
      <c r="I244" t="s">
        <v>535</v>
      </c>
      <c r="J244" t="s">
        <v>2010</v>
      </c>
    </row>
    <row r="245" spans="1:10">
      <c r="A245">
        <v>10354085</v>
      </c>
      <c r="B245">
        <v>2.4814329487859799</v>
      </c>
      <c r="C245">
        <v>0.507775384265299</v>
      </c>
      <c r="E245" t="str">
        <f>"10354085"</f>
        <v>10354085</v>
      </c>
      <c r="F245" t="str">
        <f t="shared" si="18"/>
        <v>Affy 1.0 ST</v>
      </c>
      <c r="G245" t="str">
        <f>"MGI:1929074"</f>
        <v>MGI:1929074</v>
      </c>
      <c r="H245" t="str">
        <f>"Rev1"</f>
        <v>Rev1</v>
      </c>
      <c r="I245" t="str">
        <f>"REV1 homolog (S. cerevisiae)"</f>
        <v>REV1 homolog (S. cerevisiae)</v>
      </c>
      <c r="J245" t="str">
        <f>"protein coding gene"</f>
        <v>protein coding gene</v>
      </c>
    </row>
    <row r="246" spans="1:10">
      <c r="A246">
        <v>10375980</v>
      </c>
      <c r="B246">
        <v>2.4751921291063099</v>
      </c>
      <c r="C246">
        <v>0.80024267743737998</v>
      </c>
      <c r="E246" t="str">
        <f>"10375980"</f>
        <v>10375980</v>
      </c>
      <c r="F246" t="str">
        <f t="shared" si="18"/>
        <v>Affy 1.0 ST</v>
      </c>
      <c r="G246" t="str">
        <f>"MGI:2136171"</f>
        <v>MGI:2136171</v>
      </c>
      <c r="H246" t="str">
        <f>"Aff4"</f>
        <v>Aff4</v>
      </c>
      <c r="I246" t="s">
        <v>1204</v>
      </c>
      <c r="J246" t="s">
        <v>2010</v>
      </c>
    </row>
    <row r="247" spans="1:10">
      <c r="A247">
        <v>10387638</v>
      </c>
      <c r="B247">
        <v>2.4744661843070799</v>
      </c>
      <c r="C247">
        <v>0.16009025985084999</v>
      </c>
      <c r="E247" t="str">
        <f>"10387638"</f>
        <v>10387638</v>
      </c>
      <c r="F247" t="str">
        <f t="shared" si="18"/>
        <v>Affy 1.0 ST</v>
      </c>
      <c r="G247" t="str">
        <f>"MGI:109167"</f>
        <v>MGI:109167</v>
      </c>
      <c r="H247" t="str">
        <f>"Fgf11"</f>
        <v>Fgf11</v>
      </c>
      <c r="I247" t="str">
        <f>"fibroblast growth factor 11"</f>
        <v>fibroblast growth factor 11</v>
      </c>
      <c r="J247" t="str">
        <f>"protein coding gene"</f>
        <v>protein coding gene</v>
      </c>
    </row>
    <row r="248" spans="1:10">
      <c r="A248">
        <v>10535759</v>
      </c>
      <c r="B248">
        <v>2.4713580615138699</v>
      </c>
      <c r="C248">
        <v>0.46539196543614803</v>
      </c>
      <c r="E248" t="str">
        <f>"10535759"</f>
        <v>10535759</v>
      </c>
      <c r="F248" t="str">
        <f t="shared" si="18"/>
        <v>Affy 1.0 ST</v>
      </c>
      <c r="G248" t="str">
        <f>"MGI:2155959"</f>
        <v>MGI:2155959</v>
      </c>
      <c r="H248" t="str">
        <f>"Lnx2"</f>
        <v>Lnx2</v>
      </c>
      <c r="I248" t="str">
        <f>"ligand of numb-protein X 2"</f>
        <v>ligand of numb-protein X 2</v>
      </c>
      <c r="J248" t="str">
        <f>"protein coding gene"</f>
        <v>protein coding gene</v>
      </c>
    </row>
    <row r="249" spans="1:10">
      <c r="A249">
        <v>10465446</v>
      </c>
      <c r="B249">
        <v>2.4708502159808599</v>
      </c>
      <c r="C249">
        <v>1.01053059106305</v>
      </c>
      <c r="E249" t="str">
        <f>"10465446"</f>
        <v>10465446</v>
      </c>
      <c r="F249" t="str">
        <f t="shared" si="18"/>
        <v>Affy 1.0 ST</v>
      </c>
      <c r="G249" t="str">
        <f>"MGI:1925567"</f>
        <v>MGI:1925567</v>
      </c>
      <c r="H249" t="str">
        <f>"Ccdc88b"</f>
        <v>Ccdc88b</v>
      </c>
      <c r="I249" t="str">
        <f>"coiled-coil domain containing 88B"</f>
        <v>coiled-coil domain containing 88B</v>
      </c>
      <c r="J249" t="str">
        <f>"protein coding gene"</f>
        <v>protein coding gene</v>
      </c>
    </row>
    <row r="250" spans="1:10">
      <c r="A250">
        <v>10552276</v>
      </c>
      <c r="B250">
        <v>2.4541755553423799</v>
      </c>
      <c r="C250">
        <v>0.114293596876617</v>
      </c>
      <c r="E250" t="str">
        <f>"10552276"</f>
        <v>10552276</v>
      </c>
      <c r="F250" t="str">
        <f t="shared" si="18"/>
        <v>Affy 1.0 ST</v>
      </c>
      <c r="G250" t="str">
        <f>"MGI:104632"</f>
        <v>MGI:104632</v>
      </c>
      <c r="H250" t="str">
        <f>"Ube2h"</f>
        <v>Ube2h</v>
      </c>
      <c r="I250" t="str">
        <f>"ubiquitin-conjugating enzyme E2H"</f>
        <v>ubiquitin-conjugating enzyme E2H</v>
      </c>
      <c r="J250" t="str">
        <f>"protein coding gene"</f>
        <v>protein coding gene</v>
      </c>
    </row>
    <row r="251" spans="1:10">
      <c r="A251">
        <v>10510422</v>
      </c>
      <c r="B251">
        <v>2.4540251334159402</v>
      </c>
      <c r="C251">
        <v>1.0236391508203</v>
      </c>
      <c r="E251" t="str">
        <f>"10510422"</f>
        <v>10510422</v>
      </c>
      <c r="F251" t="str">
        <f t="shared" si="18"/>
        <v>Affy 1.0 ST</v>
      </c>
      <c r="G251" t="str">
        <f>"MGI:1196251"</f>
        <v>MGI:1196251</v>
      </c>
      <c r="H251" t="str">
        <f>"Casz1"</f>
        <v>Casz1</v>
      </c>
      <c r="I251" t="s">
        <v>526</v>
      </c>
      <c r="J251" t="s">
        <v>2010</v>
      </c>
    </row>
    <row r="252" spans="1:10">
      <c r="A252">
        <v>10511042</v>
      </c>
      <c r="B252">
        <v>2.4491631853878499</v>
      </c>
      <c r="C252">
        <v>0.49081711049913301</v>
      </c>
      <c r="E252" t="str">
        <f>"10511042"</f>
        <v>10511042</v>
      </c>
      <c r="F252" t="str">
        <f t="shared" si="18"/>
        <v>Affy 1.0 ST</v>
      </c>
      <c r="G252" t="str">
        <f>"MGI:2686516"</f>
        <v>MGI:2686516</v>
      </c>
      <c r="H252" t="str">
        <f>"C030017K20Rik"</f>
        <v>C030017K20Rik</v>
      </c>
      <c r="I252" t="str">
        <f>"RIKEN cDNA C030017K20 gene"</f>
        <v>RIKEN cDNA C030017K20 gene</v>
      </c>
      <c r="J252" t="str">
        <f t="shared" ref="J252:J257" si="19">"protein coding gene"</f>
        <v>protein coding gene</v>
      </c>
    </row>
    <row r="253" spans="1:10">
      <c r="A253">
        <v>10395252</v>
      </c>
      <c r="B253">
        <v>2.4438301789847299</v>
      </c>
      <c r="C253">
        <v>0.29103312112396701</v>
      </c>
      <c r="E253" t="str">
        <f>"10395252"</f>
        <v>10395252</v>
      </c>
      <c r="F253" t="str">
        <f t="shared" si="18"/>
        <v>Affy 1.0 ST</v>
      </c>
      <c r="G253" t="str">
        <f>"MGI:1919373"</f>
        <v>MGI:1919373</v>
      </c>
      <c r="H253" t="str">
        <f>"2010109K11Rik"</f>
        <v>2010109K11Rik</v>
      </c>
      <c r="I253" t="str">
        <f>"RIKEN cDNA 2010109K11 gene"</f>
        <v>RIKEN cDNA 2010109K11 gene</v>
      </c>
      <c r="J253" t="str">
        <f t="shared" si="19"/>
        <v>protein coding gene</v>
      </c>
    </row>
    <row r="254" spans="1:10">
      <c r="A254">
        <v>10515164</v>
      </c>
      <c r="B254">
        <v>2.44326374315719</v>
      </c>
      <c r="C254">
        <v>0.78331170749739398</v>
      </c>
      <c r="E254" t="str">
        <f>"10515164"</f>
        <v>10515164</v>
      </c>
      <c r="F254" t="str">
        <f t="shared" si="18"/>
        <v>Affy 1.0 ST</v>
      </c>
      <c r="G254" t="str">
        <f>"MGI:1913838"</f>
        <v>MGI:1913838</v>
      </c>
      <c r="H254" t="str">
        <f>"Cmpk1"</f>
        <v>Cmpk1</v>
      </c>
      <c r="I254" t="str">
        <f>"cytidine monophosphate (UMP-CMP) kinase 1"</f>
        <v>cytidine monophosphate (UMP-CMP) kinase 1</v>
      </c>
      <c r="J254" t="str">
        <f t="shared" si="19"/>
        <v>protein coding gene</v>
      </c>
    </row>
    <row r="255" spans="1:10">
      <c r="A255">
        <v>10523905</v>
      </c>
      <c r="B255">
        <v>2.4420584620118402</v>
      </c>
      <c r="C255">
        <v>1.2937579474330401</v>
      </c>
      <c r="E255" t="str">
        <f>"10523905"</f>
        <v>10523905</v>
      </c>
      <c r="F255" t="str">
        <f t="shared" si="18"/>
        <v>Affy 1.0 ST</v>
      </c>
      <c r="G255" t="str">
        <f>"MGI:105050"</f>
        <v>MGI:105050</v>
      </c>
      <c r="H255" t="str">
        <f>"Mtf2"</f>
        <v>Mtf2</v>
      </c>
      <c r="I255" t="str">
        <f>"metal response element binding transcription factor 2"</f>
        <v>metal response element binding transcription factor 2</v>
      </c>
      <c r="J255" t="str">
        <f t="shared" si="19"/>
        <v>protein coding gene</v>
      </c>
    </row>
    <row r="256" spans="1:10">
      <c r="A256">
        <v>10568758</v>
      </c>
      <c r="B256">
        <v>2.4396553033353299</v>
      </c>
      <c r="C256">
        <v>0.60116307370311295</v>
      </c>
      <c r="E256" t="str">
        <f>"10568758"</f>
        <v>10568758</v>
      </c>
      <c r="F256" t="str">
        <f t="shared" si="18"/>
        <v>Affy 1.0 ST</v>
      </c>
      <c r="G256" t="str">
        <f>"MGI:1924502"</f>
        <v>MGI:1924502</v>
      </c>
      <c r="H256" t="str">
        <f>"9430038I01Rik"</f>
        <v>9430038I01Rik</v>
      </c>
      <c r="I256" t="str">
        <f>"RIKEN cDNA 9430038I01 gene"</f>
        <v>RIKEN cDNA 9430038I01 gene</v>
      </c>
      <c r="J256" t="str">
        <f t="shared" si="19"/>
        <v>protein coding gene</v>
      </c>
    </row>
    <row r="257" spans="1:10">
      <c r="A257">
        <v>10482301</v>
      </c>
      <c r="B257">
        <v>2.4371565959620098</v>
      </c>
      <c r="C257">
        <v>0.94699271954931996</v>
      </c>
      <c r="E257" t="str">
        <f>"10482301"</f>
        <v>10482301</v>
      </c>
      <c r="F257" t="str">
        <f t="shared" si="18"/>
        <v>Affy 1.0 ST</v>
      </c>
      <c r="G257" t="str">
        <f>"MGI:2443716"</f>
        <v>MGI:2443716</v>
      </c>
      <c r="H257" t="str">
        <f>"Scai"</f>
        <v>Scai</v>
      </c>
      <c r="I257" t="str">
        <f>"suppressor of cancer cell invasion"</f>
        <v>suppressor of cancer cell invasion</v>
      </c>
      <c r="J257" t="str">
        <f t="shared" si="19"/>
        <v>protein coding gene</v>
      </c>
    </row>
    <row r="258" spans="1:10">
      <c r="A258">
        <v>10455873</v>
      </c>
      <c r="B258">
        <v>2.43411865524034</v>
      </c>
      <c r="C258">
        <v>0.382169193014533</v>
      </c>
      <c r="E258" t="str">
        <f>"10455873"</f>
        <v>10455873</v>
      </c>
      <c r="F258" t="str">
        <f t="shared" si="18"/>
        <v>Affy 1.0 ST</v>
      </c>
      <c r="G258" t="str">
        <f>"MGI:101924"</f>
        <v>MGI:101924</v>
      </c>
      <c r="H258" t="str">
        <f>"Slc12a2"</f>
        <v>Slc12a2</v>
      </c>
      <c r="I258" t="s">
        <v>1003</v>
      </c>
      <c r="J258" t="s">
        <v>2010</v>
      </c>
    </row>
    <row r="259" spans="1:10">
      <c r="A259">
        <v>10416793</v>
      </c>
      <c r="B259">
        <v>2.42225530740349</v>
      </c>
      <c r="C259">
        <v>0.38171911796677299</v>
      </c>
      <c r="E259" t="str">
        <f>"10416793"</f>
        <v>10416793</v>
      </c>
      <c r="F259" t="str">
        <f t="shared" si="18"/>
        <v>Affy 1.0 ST</v>
      </c>
      <c r="G259" t="str">
        <f>"MGI:1355274"</f>
        <v>MGI:1355274</v>
      </c>
      <c r="H259" t="str">
        <f>"Uchl3"</f>
        <v>Uchl3</v>
      </c>
      <c r="I259" t="str">
        <f>"ubiquitin carboxyl-terminal esterase L3 (ubiquitin thiolesterase)"</f>
        <v>ubiquitin carboxyl-terminal esterase L3 (ubiquitin thiolesterase)</v>
      </c>
      <c r="J259" t="str">
        <f>"protein coding gene"</f>
        <v>protein coding gene</v>
      </c>
    </row>
    <row r="260" spans="1:10">
      <c r="A260">
        <v>10497001</v>
      </c>
      <c r="B260">
        <v>2.4163543051790102</v>
      </c>
      <c r="C260">
        <v>6.8460045824702304E-2</v>
      </c>
      <c r="E260" t="str">
        <f>"10497001"</f>
        <v>10497001</v>
      </c>
      <c r="F260" t="str">
        <f t="shared" si="18"/>
        <v>Affy 1.0 ST</v>
      </c>
      <c r="G260" t="str">
        <f>"MGI:88527"</f>
        <v>MGI:88527</v>
      </c>
      <c r="H260" t="str">
        <f>"Cryz"</f>
        <v>Cryz</v>
      </c>
      <c r="I260" t="s">
        <v>629</v>
      </c>
      <c r="J260" t="s">
        <v>2010</v>
      </c>
    </row>
    <row r="261" spans="1:10">
      <c r="A261">
        <v>10599696</v>
      </c>
      <c r="B261">
        <v>2.4152692187456899</v>
      </c>
      <c r="C261">
        <v>0.213054410955519</v>
      </c>
      <c r="E261" t="str">
        <f>"10599696"</f>
        <v>10599696</v>
      </c>
      <c r="F261" t="str">
        <f t="shared" si="18"/>
        <v>Affy 1.0 ST</v>
      </c>
      <c r="G261" t="str">
        <f>"MGI:2442593"</f>
        <v>MGI:2442593</v>
      </c>
      <c r="H261" t="str">
        <f>"Ddx26b"</f>
        <v>Ddx26b</v>
      </c>
      <c r="I261" t="str">
        <f>"DEAD/H (Asp-Glu-Ala-Asp/His) box polypeptide 26B"</f>
        <v>DEAD/H (Asp-Glu-Ala-Asp/His) box polypeptide 26B</v>
      </c>
      <c r="J261" t="str">
        <f>"protein coding gene"</f>
        <v>protein coding gene</v>
      </c>
    </row>
    <row r="262" spans="1:10">
      <c r="A262">
        <v>10418410</v>
      </c>
      <c r="B262">
        <v>2.40492450744369</v>
      </c>
      <c r="C262">
        <v>1.2107146888329701</v>
      </c>
      <c r="E262" t="str">
        <f>"10418410"</f>
        <v>10418410</v>
      </c>
      <c r="F262" t="str">
        <f t="shared" si="18"/>
        <v>Affy 1.0 ST</v>
      </c>
      <c r="G262" t="str">
        <f>"MGI:97598"</f>
        <v>MGI:97598</v>
      </c>
      <c r="H262" t="str">
        <f>"Prkcd"</f>
        <v>Prkcd</v>
      </c>
      <c r="I262" t="s">
        <v>1365</v>
      </c>
      <c r="J262" t="s">
        <v>2010</v>
      </c>
    </row>
    <row r="263" spans="1:10">
      <c r="A263">
        <v>10359917</v>
      </c>
      <c r="B263">
        <v>2.4042089060554899</v>
      </c>
      <c r="C263">
        <v>0.133767191867119</v>
      </c>
      <c r="E263" t="str">
        <f>"10359917"</f>
        <v>10359917</v>
      </c>
      <c r="F263" t="str">
        <f t="shared" si="18"/>
        <v>Affy 1.0 ST</v>
      </c>
      <c r="G263" t="str">
        <f>"MGI:1330808"</f>
        <v>MGI:1330808</v>
      </c>
      <c r="H263" t="str">
        <f>"Hsd17b7"</f>
        <v>Hsd17b7</v>
      </c>
      <c r="I263" t="str">
        <f>"hydroxysteroid (17-beta) dehydrogenase 7"</f>
        <v>hydroxysteroid (17-beta) dehydrogenase 7</v>
      </c>
      <c r="J263" t="str">
        <f>"protein coding gene"</f>
        <v>protein coding gene</v>
      </c>
    </row>
    <row r="264" spans="1:10">
      <c r="A264">
        <v>10435791</v>
      </c>
      <c r="B264">
        <v>2.3986601388919202</v>
      </c>
      <c r="C264">
        <v>0.41261735518099801</v>
      </c>
      <c r="E264" t="str">
        <f>"10435791"</f>
        <v>10435791</v>
      </c>
      <c r="F264" t="str">
        <f>""</f>
        <v/>
      </c>
      <c r="G264" t="str">
        <f>"No associated gene"</f>
        <v>No associated gene</v>
      </c>
    </row>
    <row r="265" spans="1:10">
      <c r="A265">
        <v>10527963</v>
      </c>
      <c r="B265">
        <v>2.3979082515566099</v>
      </c>
      <c r="C265">
        <v>0.19329443772838001</v>
      </c>
      <c r="E265" t="str">
        <f>"10527963"</f>
        <v>10527963</v>
      </c>
      <c r="F265" t="str">
        <f>""</f>
        <v/>
      </c>
      <c r="G265" t="str">
        <f>"No associated gene"</f>
        <v>No associated gene</v>
      </c>
    </row>
    <row r="266" spans="1:10">
      <c r="A266">
        <v>10399265</v>
      </c>
      <c r="B266">
        <v>2.3942797038828898</v>
      </c>
      <c r="C266">
        <v>0.77529944159754804</v>
      </c>
      <c r="E266" t="str">
        <f>"10399265"</f>
        <v>10399265</v>
      </c>
      <c r="F266" t="str">
        <f t="shared" ref="F266:F275" si="20">"Affy 1.0 ST"</f>
        <v>Affy 1.0 ST</v>
      </c>
      <c r="G266" t="str">
        <f>"MGI:1276523"</f>
        <v>MGI:1276523</v>
      </c>
      <c r="H266" t="str">
        <f>"Ncoa1"</f>
        <v>Ncoa1</v>
      </c>
      <c r="I266" t="str">
        <f>"nuclear receptor coactivator 1"</f>
        <v>nuclear receptor coactivator 1</v>
      </c>
      <c r="J266" t="str">
        <f>"protein coding gene"</f>
        <v>protein coding gene</v>
      </c>
    </row>
    <row r="267" spans="1:10">
      <c r="A267">
        <v>10505747</v>
      </c>
      <c r="B267">
        <v>2.38989878818585</v>
      </c>
      <c r="C267">
        <v>0.76934083755392801</v>
      </c>
      <c r="E267" t="str">
        <f>"10505747"</f>
        <v>10505747</v>
      </c>
      <c r="F267" t="str">
        <f t="shared" si="20"/>
        <v>Affy 1.0 ST</v>
      </c>
      <c r="G267" t="str">
        <f>"MGI:1915691"</f>
        <v>MGI:1915691</v>
      </c>
      <c r="H267" t="str">
        <f>"Rraga"</f>
        <v>Rraga</v>
      </c>
      <c r="I267" t="str">
        <f>"Ras-related GTP binding A"</f>
        <v>Ras-related GTP binding A</v>
      </c>
      <c r="J267" t="str">
        <f>"protein coding gene"</f>
        <v>protein coding gene</v>
      </c>
    </row>
    <row r="268" spans="1:10">
      <c r="A268">
        <v>10396030</v>
      </c>
      <c r="B268">
        <v>2.3850998213158601</v>
      </c>
      <c r="C268">
        <v>1.25413469622884</v>
      </c>
      <c r="E268" t="str">
        <f>"10396030"</f>
        <v>10396030</v>
      </c>
      <c r="F268" t="str">
        <f t="shared" si="20"/>
        <v>Affy 1.0 ST</v>
      </c>
      <c r="G268" t="str">
        <f>"MGI:2442306"</f>
        <v>MGI:2442306</v>
      </c>
      <c r="H268" t="str">
        <f>"Fancm"</f>
        <v>Fancm</v>
      </c>
      <c r="I268" t="s">
        <v>2155</v>
      </c>
      <c r="J268" t="s">
        <v>2010</v>
      </c>
    </row>
    <row r="269" spans="1:10">
      <c r="A269">
        <v>10589464</v>
      </c>
      <c r="B269">
        <v>2.3831760231239301</v>
      </c>
      <c r="C269">
        <v>0.85117819475328704</v>
      </c>
      <c r="E269" t="str">
        <f>"10589464"</f>
        <v>10589464</v>
      </c>
      <c r="F269" t="str">
        <f t="shared" si="20"/>
        <v>Affy 1.0 ST</v>
      </c>
      <c r="G269" t="str">
        <f>"MGI:3642102"</f>
        <v>MGI:3642102</v>
      </c>
      <c r="H269" t="str">
        <f>"Gm10615"</f>
        <v>Gm10615</v>
      </c>
      <c r="I269" t="str">
        <f>"predicted gene 10615"</f>
        <v>predicted gene 10615</v>
      </c>
      <c r="J269" t="str">
        <f>"protein coding gene"</f>
        <v>protein coding gene</v>
      </c>
    </row>
    <row r="270" spans="1:10">
      <c r="A270">
        <v>10429341</v>
      </c>
      <c r="B270">
        <v>2.3744545358408899</v>
      </c>
      <c r="C270">
        <v>0.93876904850133602</v>
      </c>
      <c r="E270" t="str">
        <f>"10429341"</f>
        <v>10429341</v>
      </c>
      <c r="F270" t="str">
        <f t="shared" si="20"/>
        <v>Affy 1.0 ST</v>
      </c>
      <c r="G270" t="str">
        <f>"MGI:95481"</f>
        <v>MGI:95481</v>
      </c>
      <c r="H270" t="str">
        <f>"Ptk2"</f>
        <v>Ptk2</v>
      </c>
      <c r="I270" t="str">
        <f>"PTK2 protein tyrosine kinase 2"</f>
        <v>PTK2 protein tyrosine kinase 2</v>
      </c>
      <c r="J270" t="str">
        <f>"protein coding gene"</f>
        <v>protein coding gene</v>
      </c>
    </row>
    <row r="271" spans="1:10">
      <c r="A271">
        <v>10595836</v>
      </c>
      <c r="B271">
        <v>2.37040816245973</v>
      </c>
      <c r="C271">
        <v>0.111046366907875</v>
      </c>
      <c r="E271" t="str">
        <f>"10595836"</f>
        <v>10595836</v>
      </c>
      <c r="F271" t="str">
        <f t="shared" si="20"/>
        <v>Affy 1.0 ST</v>
      </c>
      <c r="G271" t="str">
        <f>"MGI:2442867"</f>
        <v>MGI:2442867</v>
      </c>
      <c r="H271" t="str">
        <f>"E030011O05Rik"</f>
        <v>E030011O05Rik</v>
      </c>
      <c r="I271" t="str">
        <f>"RIKEN cDNA E030011O05 gene"</f>
        <v>RIKEN cDNA E030011O05 gene</v>
      </c>
      <c r="J271" t="str">
        <f>"unclassified gene"</f>
        <v>unclassified gene</v>
      </c>
    </row>
    <row r="272" spans="1:10">
      <c r="A272">
        <v>10508115</v>
      </c>
      <c r="B272">
        <v>2.3490735690528299</v>
      </c>
      <c r="C272">
        <v>7.9677988490446605E-2</v>
      </c>
      <c r="E272" t="str">
        <f>"10508115"</f>
        <v>10508115</v>
      </c>
      <c r="F272" t="str">
        <f t="shared" si="20"/>
        <v>Affy 1.0 ST</v>
      </c>
      <c r="G272" t="str">
        <f>"MGI:1921428"</f>
        <v>MGI:1921428</v>
      </c>
      <c r="H272" t="str">
        <f>"Stk40"</f>
        <v>Stk40</v>
      </c>
      <c r="I272" t="str">
        <f>"serine/threonine kinase 40"</f>
        <v>serine/threonine kinase 40</v>
      </c>
      <c r="J272" t="str">
        <f>"protein coding gene"</f>
        <v>protein coding gene</v>
      </c>
    </row>
    <row r="273" spans="1:10">
      <c r="A273">
        <v>10505132</v>
      </c>
      <c r="B273">
        <v>2.3392567028070101</v>
      </c>
      <c r="C273">
        <v>1.31994859972607</v>
      </c>
      <c r="E273" t="str">
        <f>"10505132"</f>
        <v>10505132</v>
      </c>
      <c r="F273" t="str">
        <f t="shared" si="20"/>
        <v>Affy 1.0 ST</v>
      </c>
      <c r="G273" t="str">
        <f>"MGI:1306795"</f>
        <v>MGI:1306795</v>
      </c>
      <c r="H273" t="str">
        <f>"Akap2"</f>
        <v>Akap2</v>
      </c>
      <c r="I273" t="str">
        <f>"A kinase (PRKA) anchor protein 2"</f>
        <v>A kinase (PRKA) anchor protein 2</v>
      </c>
      <c r="J273" t="str">
        <f>"protein coding gene"</f>
        <v>protein coding gene</v>
      </c>
    </row>
    <row r="274" spans="1:10">
      <c r="A274">
        <v>10438572</v>
      </c>
      <c r="B274">
        <v>2.3390905418026602</v>
      </c>
      <c r="C274">
        <v>0.33002312028488601</v>
      </c>
      <c r="E274" t="str">
        <f>"10438572"</f>
        <v>10438572</v>
      </c>
      <c r="F274" t="str">
        <f t="shared" si="20"/>
        <v>Affy 1.0 ST</v>
      </c>
      <c r="G274" t="str">
        <f>"MGI:1919440"</f>
        <v>MGI:1919440</v>
      </c>
      <c r="H274" t="str">
        <f>"2510009E07Rik"</f>
        <v>2510009E07Rik</v>
      </c>
      <c r="I274" t="str">
        <f>"RIKEN cDNA 2510009E07 gene"</f>
        <v>RIKEN cDNA 2510009E07 gene</v>
      </c>
      <c r="J274" t="str">
        <f>"protein coding gene"</f>
        <v>protein coding gene</v>
      </c>
    </row>
    <row r="275" spans="1:10">
      <c r="A275">
        <v>10443527</v>
      </c>
      <c r="B275">
        <v>2.3323899898625999</v>
      </c>
      <c r="C275">
        <v>0.55354755949108303</v>
      </c>
      <c r="E275" t="str">
        <f>"10443527"</f>
        <v>10443527</v>
      </c>
      <c r="F275" t="str">
        <f t="shared" si="20"/>
        <v>Affy 1.0 ST</v>
      </c>
      <c r="G275" t="str">
        <f>"MGI:97584"</f>
        <v>MGI:97584</v>
      </c>
      <c r="H275" t="str">
        <f>"Pim1"</f>
        <v>Pim1</v>
      </c>
      <c r="I275" t="str">
        <f>"proviral integration site 1"</f>
        <v>proviral integration site 1</v>
      </c>
      <c r="J275" t="str">
        <f>"protein coding gene"</f>
        <v>protein coding gene</v>
      </c>
    </row>
    <row r="276" spans="1:10">
      <c r="A276">
        <v>10608661</v>
      </c>
      <c r="B276">
        <v>2.31927517453143</v>
      </c>
      <c r="C276">
        <v>0.26208714864159699</v>
      </c>
      <c r="E276" t="str">
        <f>"10608661"</f>
        <v>10608661</v>
      </c>
      <c r="F276" t="str">
        <f>""</f>
        <v/>
      </c>
      <c r="G276" t="str">
        <f>"No associated gene"</f>
        <v>No associated gene</v>
      </c>
    </row>
    <row r="277" spans="1:10">
      <c r="A277">
        <v>10542993</v>
      </c>
      <c r="B277">
        <v>2.3187274950572099</v>
      </c>
      <c r="C277">
        <v>0.68482126264267396</v>
      </c>
      <c r="E277" t="str">
        <f>"10542993"</f>
        <v>10542993</v>
      </c>
      <c r="F277" t="str">
        <f t="shared" ref="F277:F284" si="21">"Affy 1.0 ST"</f>
        <v>Affy 1.0 ST</v>
      </c>
      <c r="G277" t="str">
        <f>"MGI:106686"</f>
        <v>MGI:106686</v>
      </c>
      <c r="H277" t="str">
        <f>"Pon3"</f>
        <v>Pon3</v>
      </c>
      <c r="I277" t="str">
        <f>"paraoxonase 3"</f>
        <v>paraoxonase 3</v>
      </c>
      <c r="J277" t="str">
        <f>"protein coding gene"</f>
        <v>protein coding gene</v>
      </c>
    </row>
    <row r="278" spans="1:10">
      <c r="A278">
        <v>10447141</v>
      </c>
      <c r="B278">
        <v>2.30709187239641</v>
      </c>
      <c r="C278">
        <v>0.78484749937100096</v>
      </c>
      <c r="E278" t="str">
        <f>"10447141"</f>
        <v>10447141</v>
      </c>
      <c r="F278" t="str">
        <f t="shared" si="21"/>
        <v>Affy 1.0 ST</v>
      </c>
      <c r="G278" t="str">
        <f>"MGI:1926048"</f>
        <v>MGI:1926048</v>
      </c>
      <c r="H278" t="str">
        <f>"Eml4"</f>
        <v>Eml4</v>
      </c>
      <c r="I278" t="str">
        <f>"echinoderm microtubule associated protein like 4"</f>
        <v>echinoderm microtubule associated protein like 4</v>
      </c>
      <c r="J278" t="str">
        <f>"protein coding gene"</f>
        <v>protein coding gene</v>
      </c>
    </row>
    <row r="279" spans="1:10">
      <c r="A279">
        <v>10431410</v>
      </c>
      <c r="B279">
        <v>2.2962310024176702</v>
      </c>
      <c r="C279">
        <v>0.51772118161031699</v>
      </c>
      <c r="E279" t="str">
        <f>"10431410"</f>
        <v>10431410</v>
      </c>
      <c r="F279" t="str">
        <f t="shared" si="21"/>
        <v>Affy 1.0 ST</v>
      </c>
      <c r="G279" t="str">
        <f>"MGI:1338024"</f>
        <v>MGI:1338024</v>
      </c>
      <c r="H279" t="str">
        <f>"Mapk11"</f>
        <v>Mapk11</v>
      </c>
      <c r="I279" t="str">
        <f>"mitogen-activated protein kinase 11"</f>
        <v>mitogen-activated protein kinase 11</v>
      </c>
      <c r="J279" t="str">
        <f>"protein coding gene"</f>
        <v>protein coding gene</v>
      </c>
    </row>
    <row r="280" spans="1:10">
      <c r="A280">
        <v>10389238</v>
      </c>
      <c r="B280">
        <v>2.2938181434104501</v>
      </c>
      <c r="C280">
        <v>0.224773024417177</v>
      </c>
      <c r="E280" t="str">
        <f>"10389238"</f>
        <v>10389238</v>
      </c>
      <c r="F280" t="str">
        <f t="shared" si="21"/>
        <v>Affy 1.0 ST</v>
      </c>
      <c r="G280" t="str">
        <f>"MGI:1927168"</f>
        <v>MGI:1927168</v>
      </c>
      <c r="H280" t="str">
        <f>"Dusp14"</f>
        <v>Dusp14</v>
      </c>
      <c r="I280" t="str">
        <f>"dual specificity phosphatase 14"</f>
        <v>dual specificity phosphatase 14</v>
      </c>
      <c r="J280" t="str">
        <f>"protein coding gene"</f>
        <v>protein coding gene</v>
      </c>
    </row>
    <row r="281" spans="1:10">
      <c r="A281">
        <v>10522301</v>
      </c>
      <c r="B281">
        <v>2.2913363644436799</v>
      </c>
      <c r="C281">
        <v>0.58864623843858299</v>
      </c>
      <c r="E281" t="str">
        <f>"10522301"</f>
        <v>10522301</v>
      </c>
      <c r="F281" t="str">
        <f t="shared" si="21"/>
        <v>Affy 1.0 ST</v>
      </c>
      <c r="G281" t="str">
        <f>"MGI:3577767"</f>
        <v>MGI:3577767</v>
      </c>
      <c r="H281" t="str">
        <f>"Grxcr1"</f>
        <v>Grxcr1</v>
      </c>
      <c r="I281" t="s">
        <v>804</v>
      </c>
      <c r="J281" t="s">
        <v>2010</v>
      </c>
    </row>
    <row r="282" spans="1:10">
      <c r="A282">
        <v>10543686</v>
      </c>
      <c r="B282">
        <v>2.2875217925720102</v>
      </c>
      <c r="C282">
        <v>0.169251357364923</v>
      </c>
      <c r="E282" t="str">
        <f>"10543686"</f>
        <v>10543686</v>
      </c>
      <c r="F282" t="str">
        <f t="shared" si="21"/>
        <v>Affy 1.0 ST</v>
      </c>
      <c r="G282" t="str">
        <f>"MGI:104632"</f>
        <v>MGI:104632</v>
      </c>
      <c r="H282" t="str">
        <f>"Ube2h"</f>
        <v>Ube2h</v>
      </c>
      <c r="I282" t="str">
        <f>"ubiquitin-conjugating enzyme E2H"</f>
        <v>ubiquitin-conjugating enzyme E2H</v>
      </c>
      <c r="J282" t="str">
        <f>"protein coding gene"</f>
        <v>protein coding gene</v>
      </c>
    </row>
    <row r="283" spans="1:10">
      <c r="A283">
        <v>10530319</v>
      </c>
      <c r="B283">
        <v>2.2841344752693402</v>
      </c>
      <c r="C283">
        <v>0.92148594480745405</v>
      </c>
      <c r="E283" t="str">
        <f>"10530319"</f>
        <v>10530319</v>
      </c>
      <c r="F283" t="str">
        <f t="shared" si="21"/>
        <v>Affy 1.0 ST</v>
      </c>
      <c r="G283" t="str">
        <f>"MGI:1330848"</f>
        <v>MGI:1330848</v>
      </c>
      <c r="H283" t="str">
        <f>"Atp8a1"</f>
        <v>Atp8a1</v>
      </c>
      <c r="I283" t="s">
        <v>1380</v>
      </c>
      <c r="J283" t="s">
        <v>2010</v>
      </c>
    </row>
    <row r="284" spans="1:10">
      <c r="A284">
        <v>10528385</v>
      </c>
      <c r="B284">
        <v>2.28383960278267</v>
      </c>
      <c r="C284">
        <v>0.32189460077827597</v>
      </c>
      <c r="E284" t="str">
        <f>"10528385"</f>
        <v>10528385</v>
      </c>
      <c r="F284" t="str">
        <f t="shared" si="21"/>
        <v>Affy 1.0 ST</v>
      </c>
      <c r="G284" t="str">
        <f>"MGI:103022"</f>
        <v>MGI:103022</v>
      </c>
      <c r="H284" t="str">
        <f>"Reln"</f>
        <v>Reln</v>
      </c>
      <c r="I284" t="str">
        <f>"reelin"</f>
        <v>reelin</v>
      </c>
      <c r="J284" t="str">
        <f>"protein coding gene"</f>
        <v>protein coding gene</v>
      </c>
    </row>
    <row r="285" spans="1:10">
      <c r="A285">
        <v>10409202</v>
      </c>
      <c r="B285">
        <v>2.2745790837836002</v>
      </c>
      <c r="C285">
        <v>0.31074222511104699</v>
      </c>
      <c r="E285" t="str">
        <f>"10409202"</f>
        <v>10409202</v>
      </c>
      <c r="F285" t="str">
        <f>""</f>
        <v/>
      </c>
      <c r="G285" t="str">
        <f>"No associated gene"</f>
        <v>No associated gene</v>
      </c>
    </row>
    <row r="286" spans="1:10">
      <c r="A286">
        <v>10382243</v>
      </c>
      <c r="B286">
        <v>2.2693834624381699</v>
      </c>
      <c r="C286">
        <v>0.43744828784617401</v>
      </c>
      <c r="E286" t="str">
        <f>"10382243"</f>
        <v>10382243</v>
      </c>
      <c r="F286" t="str">
        <f>"Affy 1.0 ST"</f>
        <v>Affy 1.0 ST</v>
      </c>
      <c r="G286" t="str">
        <f>"MGI:95768"</f>
        <v>MGI:95768</v>
      </c>
      <c r="H286" t="str">
        <f>"Gna13"</f>
        <v>Gna13</v>
      </c>
      <c r="I286" t="s">
        <v>819</v>
      </c>
      <c r="J286" t="s">
        <v>2010</v>
      </c>
    </row>
    <row r="287" spans="1:10">
      <c r="A287">
        <v>10411019</v>
      </c>
      <c r="B287">
        <v>2.2686036291356002</v>
      </c>
      <c r="C287">
        <v>1.02557007360359</v>
      </c>
      <c r="E287" t="str">
        <f>"10411019"</f>
        <v>10411019</v>
      </c>
      <c r="F287" t="str">
        <f>"Affy 1.0 ST"</f>
        <v>Affy 1.0 ST</v>
      </c>
      <c r="G287" t="str">
        <f>"MGI:109519"</f>
        <v>MGI:109519</v>
      </c>
      <c r="H287" t="str">
        <f>"Msh3"</f>
        <v>Msh3</v>
      </c>
      <c r="I287" t="str">
        <f>"mutS homolog 3 (E. coli)"</f>
        <v>mutS homolog 3 (E. coli)</v>
      </c>
      <c r="J287" t="str">
        <f>"protein coding gene"</f>
        <v>protein coding gene</v>
      </c>
    </row>
    <row r="288" spans="1:10">
      <c r="A288">
        <v>10579335</v>
      </c>
      <c r="B288">
        <v>2.2677165168140401</v>
      </c>
      <c r="C288">
        <v>4.1397329609724497E-2</v>
      </c>
      <c r="E288" t="str">
        <f>"10579335"</f>
        <v>10579335</v>
      </c>
      <c r="F288" t="str">
        <f>"Affy 1.0 ST"</f>
        <v>Affy 1.0 ST</v>
      </c>
      <c r="G288" t="str">
        <f>"MGI:1913772"</f>
        <v>MGI:1913772</v>
      </c>
      <c r="H288" t="str">
        <f>"Pgpep1"</f>
        <v>Pgpep1</v>
      </c>
      <c r="I288" t="str">
        <f>"pyroglutamyl-peptidase I"</f>
        <v>pyroglutamyl-peptidase I</v>
      </c>
      <c r="J288" t="str">
        <f>"protein coding gene"</f>
        <v>protein coding gene</v>
      </c>
    </row>
    <row r="289" spans="1:10">
      <c r="A289">
        <v>10367337</v>
      </c>
      <c r="B289">
        <v>2.2670639569539501</v>
      </c>
      <c r="C289">
        <v>0.56978168604272705</v>
      </c>
      <c r="E289" t="str">
        <f>"10367337"</f>
        <v>10367337</v>
      </c>
      <c r="F289" t="str">
        <f>"Affy 1.0 ST"</f>
        <v>Affy 1.0 ST</v>
      </c>
      <c r="G289" t="str">
        <f>"MGI:1914838"</f>
        <v>MGI:1914838</v>
      </c>
      <c r="H289" t="str">
        <f>"Rnf41"</f>
        <v>Rnf41</v>
      </c>
      <c r="I289" t="str">
        <f>"ring finger protein 41"</f>
        <v>ring finger protein 41</v>
      </c>
      <c r="J289" t="str">
        <f>"protein coding gene"</f>
        <v>protein coding gene</v>
      </c>
    </row>
    <row r="290" spans="1:10">
      <c r="A290">
        <v>10364093</v>
      </c>
      <c r="B290">
        <v>2.25914608237811</v>
      </c>
      <c r="C290">
        <v>0.71742819338416597</v>
      </c>
      <c r="E290" t="str">
        <f>"10364093"</f>
        <v>10364093</v>
      </c>
      <c r="F290" t="str">
        <f>"Affy 1.0 ST"</f>
        <v>Affy 1.0 ST</v>
      </c>
      <c r="G290" t="str">
        <f>"MGI:1917627"</f>
        <v>MGI:1917627</v>
      </c>
      <c r="H290" t="str">
        <f>"Derl3"</f>
        <v>Derl3</v>
      </c>
      <c r="I290" t="s">
        <v>432</v>
      </c>
      <c r="J290" t="s">
        <v>2010</v>
      </c>
    </row>
    <row r="291" spans="1:10">
      <c r="A291">
        <v>10426301</v>
      </c>
      <c r="B291">
        <v>2.25894994701786</v>
      </c>
      <c r="C291">
        <v>0.44192454605902998</v>
      </c>
      <c r="E291" t="str">
        <f>"10426301"</f>
        <v>10426301</v>
      </c>
      <c r="F291" t="str">
        <f>""</f>
        <v/>
      </c>
      <c r="G291" t="str">
        <f>"No associated gene"</f>
        <v>No associated gene</v>
      </c>
    </row>
    <row r="292" spans="1:10">
      <c r="A292">
        <v>10369086</v>
      </c>
      <c r="B292">
        <v>2.2447033203752</v>
      </c>
      <c r="C292">
        <v>0.81767771813401502</v>
      </c>
      <c r="E292" t="str">
        <f>"10369086"</f>
        <v>10369086</v>
      </c>
      <c r="F292" t="str">
        <f t="shared" ref="F292:F326" si="22">"Affy 1.0 ST"</f>
        <v>Affy 1.0 ST</v>
      </c>
      <c r="G292" t="str">
        <f>"MGI:2149946"</f>
        <v>MGI:2149946</v>
      </c>
      <c r="H292" t="str">
        <f>"Gopc"</f>
        <v>Gopc</v>
      </c>
      <c r="I292" t="str">
        <f>"golgi associated PDZ and coiled-coil motif containing"</f>
        <v>golgi associated PDZ and coiled-coil motif containing</v>
      </c>
      <c r="J292" t="str">
        <f>"protein coding gene"</f>
        <v>protein coding gene</v>
      </c>
    </row>
    <row r="293" spans="1:10">
      <c r="A293">
        <v>10595059</v>
      </c>
      <c r="B293">
        <v>2.24397822511781</v>
      </c>
      <c r="C293">
        <v>0.152751447287817</v>
      </c>
      <c r="E293" t="str">
        <f>"10595059"</f>
        <v>10595059</v>
      </c>
      <c r="F293" t="str">
        <f t="shared" si="22"/>
        <v>Affy 1.0 ST</v>
      </c>
      <c r="G293" t="str">
        <f>"MGI:2680765"</f>
        <v>MGI:2680765</v>
      </c>
      <c r="H293" t="str">
        <f>"Hcrtr2"</f>
        <v>Hcrtr2</v>
      </c>
      <c r="I293" t="str">
        <f>"hypocretin (orexin) receptor 2"</f>
        <v>hypocretin (orexin) receptor 2</v>
      </c>
      <c r="J293" t="str">
        <f>"protein coding gene"</f>
        <v>protein coding gene</v>
      </c>
    </row>
    <row r="294" spans="1:10">
      <c r="A294">
        <v>10386743</v>
      </c>
      <c r="B294">
        <v>2.2359139331768501</v>
      </c>
      <c r="C294">
        <v>0.50446921112172505</v>
      </c>
      <c r="E294" t="str">
        <f>"10386743"</f>
        <v>10386743</v>
      </c>
      <c r="F294" t="str">
        <f t="shared" si="22"/>
        <v>Affy 1.0 ST</v>
      </c>
      <c r="G294" t="str">
        <f>"MGI:1333766"</f>
        <v>MGI:1333766</v>
      </c>
      <c r="H294" t="str">
        <f>"Epn2"</f>
        <v>Epn2</v>
      </c>
      <c r="I294" t="str">
        <f>"epsin 2"</f>
        <v>epsin 2</v>
      </c>
      <c r="J294" t="str">
        <f>"protein coding gene"</f>
        <v>protein coding gene</v>
      </c>
    </row>
    <row r="295" spans="1:10">
      <c r="A295">
        <v>10490894</v>
      </c>
      <c r="B295">
        <v>2.2322801943844599</v>
      </c>
      <c r="C295">
        <v>0.55221571649597501</v>
      </c>
      <c r="E295" t="str">
        <f>"10490894"</f>
        <v>10490894</v>
      </c>
      <c r="F295" t="str">
        <f t="shared" si="22"/>
        <v>Affy 1.0 ST</v>
      </c>
      <c r="G295" t="str">
        <f>"MGI:105091"</f>
        <v>MGI:105091</v>
      </c>
      <c r="H295" t="str">
        <f>"E2f5"</f>
        <v>E2f5</v>
      </c>
      <c r="I295" t="str">
        <f>"E2F transcription factor 5"</f>
        <v>E2F transcription factor 5</v>
      </c>
      <c r="J295" t="str">
        <f>"protein coding gene"</f>
        <v>protein coding gene</v>
      </c>
    </row>
    <row r="296" spans="1:10">
      <c r="A296">
        <v>10409278</v>
      </c>
      <c r="B296">
        <v>2.23048927009321</v>
      </c>
      <c r="C296">
        <v>0.31179654009672703</v>
      </c>
      <c r="E296" t="str">
        <f>"10409278"</f>
        <v>10409278</v>
      </c>
      <c r="F296" t="str">
        <f t="shared" si="22"/>
        <v>Affy 1.0 ST</v>
      </c>
      <c r="G296" t="str">
        <f>"MGI:109495"</f>
        <v>MGI:109495</v>
      </c>
      <c r="H296" t="str">
        <f>"Nfil3"</f>
        <v>Nfil3</v>
      </c>
      <c r="I296" t="s">
        <v>95</v>
      </c>
      <c r="J296" t="s">
        <v>2010</v>
      </c>
    </row>
    <row r="297" spans="1:10">
      <c r="A297">
        <v>10549200</v>
      </c>
      <c r="B297">
        <v>2.21942267174152</v>
      </c>
      <c r="C297">
        <v>0.13755619443633699</v>
      </c>
      <c r="E297" t="str">
        <f>"10549200"</f>
        <v>10549200</v>
      </c>
      <c r="F297" t="str">
        <f t="shared" si="22"/>
        <v>Affy 1.0 ST</v>
      </c>
      <c r="G297" t="str">
        <f>"MGI:98367"</f>
        <v>MGI:98367</v>
      </c>
      <c r="H297" t="str">
        <f>"Sox5"</f>
        <v>Sox5</v>
      </c>
      <c r="I297" t="str">
        <f>"SRY-box containing gene 5"</f>
        <v>SRY-box containing gene 5</v>
      </c>
      <c r="J297" t="str">
        <f>"protein coding gene"</f>
        <v>protein coding gene</v>
      </c>
    </row>
    <row r="298" spans="1:10">
      <c r="A298">
        <v>10385719</v>
      </c>
      <c r="B298">
        <v>2.2140761586926598</v>
      </c>
      <c r="C298">
        <v>0.32612341946061102</v>
      </c>
      <c r="E298" t="str">
        <f>"10385719"</f>
        <v>10385719</v>
      </c>
      <c r="F298" t="str">
        <f t="shared" si="22"/>
        <v>Affy 1.0 ST</v>
      </c>
      <c r="G298" t="str">
        <f>"MGI:1924621"</f>
        <v>MGI:1924621</v>
      </c>
      <c r="H298" t="str">
        <f>"Sec24a"</f>
        <v>Sec24a</v>
      </c>
      <c r="I298" t="s">
        <v>96</v>
      </c>
      <c r="J298" t="s">
        <v>2010</v>
      </c>
    </row>
    <row r="299" spans="1:10">
      <c r="A299">
        <v>10458816</v>
      </c>
      <c r="B299">
        <v>2.2125296452191101</v>
      </c>
      <c r="C299">
        <v>0.58510655816259804</v>
      </c>
      <c r="E299" t="str">
        <f>"10458816"</f>
        <v>10458816</v>
      </c>
      <c r="F299" t="str">
        <f t="shared" si="22"/>
        <v>Affy 1.0 ST</v>
      </c>
      <c r="G299" t="str">
        <f>"MGI:3040056"</f>
        <v>MGI:3040056</v>
      </c>
      <c r="H299" t="str">
        <f>"Ticam2"</f>
        <v>Ticam2</v>
      </c>
      <c r="I299" t="str">
        <f>"toll-like receptor adaptor molecule 2"</f>
        <v>toll-like receptor adaptor molecule 2</v>
      </c>
      <c r="J299" t="str">
        <f>"protein coding gene"</f>
        <v>protein coding gene</v>
      </c>
    </row>
    <row r="300" spans="1:10">
      <c r="A300">
        <v>10407481</v>
      </c>
      <c r="B300">
        <v>2.2120289068914598</v>
      </c>
      <c r="C300">
        <v>0.28917108981320899</v>
      </c>
      <c r="E300" t="str">
        <f>"10407481"</f>
        <v>10407481</v>
      </c>
      <c r="F300" t="str">
        <f t="shared" si="22"/>
        <v>Affy 1.0 ST</v>
      </c>
      <c r="G300" t="str">
        <f>"MGI:1891833"</f>
        <v>MGI:1891833</v>
      </c>
      <c r="H300" t="str">
        <f>"Pfkp"</f>
        <v>Pfkp</v>
      </c>
      <c r="I300" t="s">
        <v>97</v>
      </c>
      <c r="J300" t="s">
        <v>2010</v>
      </c>
    </row>
    <row r="301" spans="1:10">
      <c r="A301">
        <v>10483698</v>
      </c>
      <c r="B301">
        <v>2.2032830230422999</v>
      </c>
      <c r="C301">
        <v>0.59928650335944</v>
      </c>
      <c r="E301" t="str">
        <f>"10483698"</f>
        <v>10483698</v>
      </c>
      <c r="F301" t="str">
        <f t="shared" si="22"/>
        <v>Affy 1.0 ST</v>
      </c>
      <c r="G301" t="str">
        <f>"MGI:2178801"</f>
        <v>MGI:2178801</v>
      </c>
      <c r="H301" t="str">
        <f>"Wipf1"</f>
        <v>Wipf1</v>
      </c>
      <c r="I301" t="s">
        <v>98</v>
      </c>
      <c r="J301" t="s">
        <v>2010</v>
      </c>
    </row>
    <row r="302" spans="1:10">
      <c r="A302">
        <v>10428998</v>
      </c>
      <c r="B302">
        <v>2.1979408389815198</v>
      </c>
      <c r="C302">
        <v>0.24182430217729201</v>
      </c>
      <c r="E302" t="str">
        <f>"10428998"</f>
        <v>10428998</v>
      </c>
      <c r="F302" t="str">
        <f t="shared" si="22"/>
        <v>Affy 1.0 ST</v>
      </c>
      <c r="G302" t="str">
        <f>"MGI:1342335"</f>
        <v>MGI:1342335</v>
      </c>
      <c r="H302" t="str">
        <f>"Asap1"</f>
        <v>Asap1</v>
      </c>
      <c r="I302" t="s">
        <v>1232</v>
      </c>
      <c r="J302" t="s">
        <v>2010</v>
      </c>
    </row>
    <row r="303" spans="1:10">
      <c r="A303">
        <v>10450926</v>
      </c>
      <c r="B303">
        <v>2.1942223602601998</v>
      </c>
      <c r="C303">
        <v>0.16387702160784401</v>
      </c>
      <c r="E303" t="str">
        <f>"10450926"</f>
        <v>10450926</v>
      </c>
      <c r="F303" t="str">
        <f t="shared" si="22"/>
        <v>Affy 1.0 ST</v>
      </c>
      <c r="G303" t="str">
        <f>"MGI:102552"</f>
        <v>MGI:102552</v>
      </c>
      <c r="H303" t="str">
        <f>"Crisp3"</f>
        <v>Crisp3</v>
      </c>
      <c r="I303" t="str">
        <f>"cysteine-rich secretory protein 3"</f>
        <v>cysteine-rich secretory protein 3</v>
      </c>
      <c r="J303" t="str">
        <f>"protein coding gene"</f>
        <v>protein coding gene</v>
      </c>
    </row>
    <row r="304" spans="1:10">
      <c r="A304">
        <v>10359375</v>
      </c>
      <c r="B304">
        <v>2.1931016288700298</v>
      </c>
      <c r="C304">
        <v>0.35734752443825102</v>
      </c>
      <c r="E304" t="str">
        <f>"10359375"</f>
        <v>10359375</v>
      </c>
      <c r="F304" t="str">
        <f t="shared" si="22"/>
        <v>Affy 1.0 ST</v>
      </c>
      <c r="G304" t="str">
        <f>"MGI:3643278"</f>
        <v>MGI:3643278</v>
      </c>
      <c r="H304" t="str">
        <f>"Gpr52"</f>
        <v>Gpr52</v>
      </c>
      <c r="I304" t="str">
        <f>"G protein-coupled receptor 52"</f>
        <v>G protein-coupled receptor 52</v>
      </c>
      <c r="J304" t="str">
        <f>"protein coding gene"</f>
        <v>protein coding gene</v>
      </c>
    </row>
    <row r="305" spans="1:10">
      <c r="A305">
        <v>10366266</v>
      </c>
      <c r="B305">
        <v>2.1908719676610899</v>
      </c>
      <c r="C305">
        <v>0.21163297016895499</v>
      </c>
      <c r="E305" t="str">
        <f>"10366266"</f>
        <v>10366266</v>
      </c>
      <c r="F305" t="str">
        <f t="shared" si="22"/>
        <v>Affy 1.0 ST</v>
      </c>
      <c r="G305" t="str">
        <f>"MGI:2149961"</f>
        <v>MGI:2149961</v>
      </c>
      <c r="H305" t="str">
        <f>"Pawr"</f>
        <v>Pawr</v>
      </c>
      <c r="I305" t="s">
        <v>26</v>
      </c>
      <c r="J305" t="s">
        <v>2010</v>
      </c>
    </row>
    <row r="306" spans="1:10">
      <c r="A306">
        <v>10345554</v>
      </c>
      <c r="B306">
        <v>2.1903046043068</v>
      </c>
      <c r="C306">
        <v>6.3060739108059594E-2</v>
      </c>
      <c r="E306" t="str">
        <f>"10345554"</f>
        <v>10345554</v>
      </c>
      <c r="F306" t="str">
        <f t="shared" si="22"/>
        <v>Affy 1.0 ST</v>
      </c>
      <c r="G306" t="str">
        <f>"MGI:1918103"</f>
        <v>MGI:1918103</v>
      </c>
      <c r="H306" t="str">
        <f>"Vwa3b"</f>
        <v>Vwa3b</v>
      </c>
      <c r="I306" t="str">
        <f>"von Willebrand factor A domain containing 3B"</f>
        <v>von Willebrand factor A domain containing 3B</v>
      </c>
      <c r="J306" t="str">
        <f>"protein coding gene"</f>
        <v>protein coding gene</v>
      </c>
    </row>
    <row r="307" spans="1:10">
      <c r="A307">
        <v>10352166</v>
      </c>
      <c r="B307">
        <v>2.1845222812956702</v>
      </c>
      <c r="C307">
        <v>0.80748609401934901</v>
      </c>
      <c r="E307" t="str">
        <f>"10352166"</f>
        <v>10352166</v>
      </c>
      <c r="F307" t="str">
        <f t="shared" si="22"/>
        <v>Affy 1.0 ST</v>
      </c>
      <c r="G307" t="str">
        <f>"MGI:2445141"</f>
        <v>MGI:2445141</v>
      </c>
      <c r="H307" t="str">
        <f>"Cnst"</f>
        <v>Cnst</v>
      </c>
      <c r="I307" t="s">
        <v>904</v>
      </c>
      <c r="J307" t="s">
        <v>2010</v>
      </c>
    </row>
    <row r="308" spans="1:10">
      <c r="A308">
        <v>10392437</v>
      </c>
      <c r="B308">
        <v>2.1678375090672302</v>
      </c>
      <c r="C308">
        <v>0.109042800017475</v>
      </c>
      <c r="E308" t="str">
        <f>"10392437"</f>
        <v>10392437</v>
      </c>
      <c r="F308" t="str">
        <f t="shared" si="22"/>
        <v>Affy 1.0 ST</v>
      </c>
      <c r="G308" t="str">
        <f>"MGI:3701776"</f>
        <v>MGI:3701776</v>
      </c>
      <c r="H308" t="str">
        <f>"Gm11696"</f>
        <v>Gm11696</v>
      </c>
      <c r="I308" t="str">
        <f>"predicted gene 11696"</f>
        <v>predicted gene 11696</v>
      </c>
      <c r="J308" t="str">
        <f>"protein coding gene"</f>
        <v>protein coding gene</v>
      </c>
    </row>
    <row r="309" spans="1:10">
      <c r="A309">
        <v>10354521</v>
      </c>
      <c r="B309">
        <v>2.1661564890135798</v>
      </c>
      <c r="C309">
        <v>0.206700139322266</v>
      </c>
      <c r="E309" t="str">
        <f>"10354521"</f>
        <v>10354521</v>
      </c>
      <c r="F309" t="str">
        <f t="shared" si="22"/>
        <v>Affy 1.0 ST</v>
      </c>
      <c r="G309" t="str">
        <f>"MGI:104848"</f>
        <v>MGI:104848</v>
      </c>
      <c r="H309" t="str">
        <f>"Inpp1"</f>
        <v>Inpp1</v>
      </c>
      <c r="I309" t="str">
        <f>"inositol polyphosphate-1-phosphatase"</f>
        <v>inositol polyphosphate-1-phosphatase</v>
      </c>
      <c r="J309" t="str">
        <f>"protein coding gene"</f>
        <v>protein coding gene</v>
      </c>
    </row>
    <row r="310" spans="1:10">
      <c r="A310">
        <v>10469110</v>
      </c>
      <c r="B310">
        <v>2.1591972061951599</v>
      </c>
      <c r="C310">
        <v>0.50377884646669402</v>
      </c>
      <c r="E310" t="str">
        <f>"10469110"</f>
        <v>10469110</v>
      </c>
      <c r="F310" t="str">
        <f t="shared" si="22"/>
        <v>Affy 1.0 ST</v>
      </c>
      <c r="G310" t="str">
        <f>"MGI:2138893"</f>
        <v>MGI:2138893</v>
      </c>
      <c r="H310" t="str">
        <f>"Usp6nl"</f>
        <v>Usp6nl</v>
      </c>
      <c r="I310" t="str">
        <f>"USP6 N-terminal like"</f>
        <v>USP6 N-terminal like</v>
      </c>
      <c r="J310" t="str">
        <f>"protein coding gene"</f>
        <v>protein coding gene</v>
      </c>
    </row>
    <row r="311" spans="1:10">
      <c r="A311">
        <v>10522976</v>
      </c>
      <c r="B311">
        <v>2.1562209732426698</v>
      </c>
      <c r="C311">
        <v>0.51554918210544998</v>
      </c>
      <c r="E311" t="str">
        <f>"10522976"</f>
        <v>10522976</v>
      </c>
      <c r="F311" t="str">
        <f t="shared" si="22"/>
        <v>Affy 1.0 ST</v>
      </c>
      <c r="G311" t="str">
        <f>"MGI:106484"</f>
        <v>MGI:106484</v>
      </c>
      <c r="H311" t="str">
        <f>"Rufy3"</f>
        <v>Rufy3</v>
      </c>
      <c r="I311" t="str">
        <f>"RUN and FYVE domain containing 3"</f>
        <v>RUN and FYVE domain containing 3</v>
      </c>
      <c r="J311" t="str">
        <f>"protein coding gene"</f>
        <v>protein coding gene</v>
      </c>
    </row>
    <row r="312" spans="1:10">
      <c r="A312">
        <v>10491182</v>
      </c>
      <c r="B312">
        <v>2.1503070499230201</v>
      </c>
      <c r="C312">
        <v>0.488148912148192</v>
      </c>
      <c r="E312" t="str">
        <f>"10491182"</f>
        <v>10491182</v>
      </c>
      <c r="F312" t="str">
        <f t="shared" si="22"/>
        <v>Affy 1.0 ST</v>
      </c>
      <c r="G312" t="str">
        <f>"MGI:1933735"</f>
        <v>MGI:1933735</v>
      </c>
      <c r="H312" t="str">
        <f>"Eif5a2"</f>
        <v>Eif5a2</v>
      </c>
      <c r="I312" t="str">
        <f>"eukaryotic translation initiation factor 5A2"</f>
        <v>eukaryotic translation initiation factor 5A2</v>
      </c>
      <c r="J312" t="str">
        <f>"protein coding gene"</f>
        <v>protein coding gene</v>
      </c>
    </row>
    <row r="313" spans="1:10">
      <c r="A313">
        <v>10592585</v>
      </c>
      <c r="B313">
        <v>2.1450980215065298</v>
      </c>
      <c r="C313">
        <v>9.9408985352873597E-2</v>
      </c>
      <c r="E313" t="str">
        <f>"10592585"</f>
        <v>10592585</v>
      </c>
      <c r="F313" t="str">
        <f t="shared" si="22"/>
        <v>Affy 1.0 ST</v>
      </c>
      <c r="G313" t="str">
        <f>"MGI:1353611"</f>
        <v>MGI:1353611</v>
      </c>
      <c r="H313" t="str">
        <f>"Sc5d"</f>
        <v>Sc5d</v>
      </c>
      <c r="I313" t="s">
        <v>27</v>
      </c>
      <c r="J313" t="s">
        <v>2010</v>
      </c>
    </row>
    <row r="314" spans="1:10">
      <c r="A314">
        <v>10597714</v>
      </c>
      <c r="B314">
        <v>2.1444165255358199</v>
      </c>
      <c r="C314">
        <v>0.12602451059226499</v>
      </c>
      <c r="E314" t="str">
        <f>"10597714"</f>
        <v>10597714</v>
      </c>
      <c r="F314" t="str">
        <f t="shared" si="22"/>
        <v>Affy 1.0 ST</v>
      </c>
      <c r="G314" t="str">
        <f>"MGI:1345149"</f>
        <v>MGI:1345149</v>
      </c>
      <c r="H314" t="str">
        <f>"Scn11a"</f>
        <v>Scn11a</v>
      </c>
      <c r="I314" t="s">
        <v>265</v>
      </c>
      <c r="J314" t="s">
        <v>2010</v>
      </c>
    </row>
    <row r="315" spans="1:10">
      <c r="A315">
        <v>10351465</v>
      </c>
      <c r="B315">
        <v>2.1433865639990701</v>
      </c>
      <c r="C315">
        <v>4.8708849656215698E-2</v>
      </c>
      <c r="E315" t="str">
        <f>"10351465"</f>
        <v>10351465</v>
      </c>
      <c r="F315" t="str">
        <f t="shared" si="22"/>
        <v>Affy 1.0 ST</v>
      </c>
      <c r="G315" t="str">
        <f>"MGI:1925715"</f>
        <v>MGI:1925715</v>
      </c>
      <c r="H315" t="str">
        <f>"1700084C01Rik"</f>
        <v>1700084C01Rik</v>
      </c>
      <c r="I315" t="str">
        <f>"RIKEN cDNA 1700084C01 gene"</f>
        <v>RIKEN cDNA 1700084C01 gene</v>
      </c>
      <c r="J315" t="str">
        <f>"protein coding gene"</f>
        <v>protein coding gene</v>
      </c>
    </row>
    <row r="316" spans="1:10">
      <c r="A316">
        <v>10406519</v>
      </c>
      <c r="B316">
        <v>2.1412048722065</v>
      </c>
      <c r="C316">
        <v>0.120323247876122</v>
      </c>
      <c r="E316" t="str">
        <f>"10406519"</f>
        <v>10406519</v>
      </c>
      <c r="F316" t="str">
        <f t="shared" si="22"/>
        <v>Affy 1.0 ST</v>
      </c>
      <c r="G316" t="str">
        <f>"MGI:1337006"</f>
        <v>MGI:1337006</v>
      </c>
      <c r="H316" t="str">
        <f>"Hapln1"</f>
        <v>Hapln1</v>
      </c>
      <c r="I316" t="str">
        <f>"hyaluronan and proteoglycan link protein 1"</f>
        <v>hyaluronan and proteoglycan link protein 1</v>
      </c>
      <c r="J316" t="str">
        <f>"protein coding gene"</f>
        <v>protein coding gene</v>
      </c>
    </row>
    <row r="317" spans="1:10">
      <c r="A317">
        <v>10454782</v>
      </c>
      <c r="B317">
        <v>2.1407431484850501</v>
      </c>
      <c r="C317">
        <v>0.40609477998395799</v>
      </c>
      <c r="E317" t="str">
        <f>"10454782"</f>
        <v>10454782</v>
      </c>
      <c r="F317" t="str">
        <f t="shared" si="22"/>
        <v>Affy 1.0 ST</v>
      </c>
      <c r="G317" t="str">
        <f>"MGI:95295"</f>
        <v>MGI:95295</v>
      </c>
      <c r="H317" t="str">
        <f>"Egr1"</f>
        <v>Egr1</v>
      </c>
      <c r="I317" t="str">
        <f>"early growth response 1"</f>
        <v>early growth response 1</v>
      </c>
      <c r="J317" t="str">
        <f>"protein coding gene"</f>
        <v>protein coding gene</v>
      </c>
    </row>
    <row r="318" spans="1:10">
      <c r="A318">
        <v>10428857</v>
      </c>
      <c r="B318">
        <v>2.1343228393196898</v>
      </c>
      <c r="C318">
        <v>0.26408123854045901</v>
      </c>
      <c r="E318" t="str">
        <f>"10428857"</f>
        <v>10428857</v>
      </c>
      <c r="F318" t="str">
        <f t="shared" si="22"/>
        <v>Affy 1.0 ST</v>
      </c>
      <c r="G318" t="str">
        <f>"MGI:2384818"</f>
        <v>MGI:2384818</v>
      </c>
      <c r="H318" t="str">
        <f>"Mtss1"</f>
        <v>Mtss1</v>
      </c>
      <c r="I318" t="str">
        <f>"metastasis suppressor 1"</f>
        <v>metastasis suppressor 1</v>
      </c>
      <c r="J318" t="str">
        <f>"protein coding gene"</f>
        <v>protein coding gene</v>
      </c>
    </row>
    <row r="319" spans="1:10">
      <c r="A319">
        <v>10605711</v>
      </c>
      <c r="B319">
        <v>2.1274909219833802</v>
      </c>
      <c r="C319">
        <v>0.87516250687323405</v>
      </c>
      <c r="E319" t="str">
        <f>"10605711"</f>
        <v>10605711</v>
      </c>
      <c r="F319" t="str">
        <f t="shared" si="22"/>
        <v>Affy 1.0 ST</v>
      </c>
      <c r="G319" t="str">
        <f>"MGI:2384308"</f>
        <v>MGI:2384308</v>
      </c>
      <c r="H319" t="str">
        <f>"Pdk3"</f>
        <v>Pdk3</v>
      </c>
      <c r="I319" t="s">
        <v>1840</v>
      </c>
      <c r="J319" t="s">
        <v>2010</v>
      </c>
    </row>
    <row r="320" spans="1:10">
      <c r="A320">
        <v>10505643</v>
      </c>
      <c r="B320">
        <v>2.1256918837277201</v>
      </c>
      <c r="C320">
        <v>0.262124264605955</v>
      </c>
      <c r="E320" t="str">
        <f>"10505643"</f>
        <v>10505643</v>
      </c>
      <c r="F320" t="str">
        <f t="shared" si="22"/>
        <v>Affy 1.0 ST</v>
      </c>
      <c r="G320" t="str">
        <f>"MGI:1922152"</f>
        <v>MGI:1922152</v>
      </c>
      <c r="H320" t="str">
        <f>"4930473A06Rik"</f>
        <v>4930473A06Rik</v>
      </c>
      <c r="I320" t="str">
        <f>"RIKEN cDNA 4930473A06 gene"</f>
        <v>RIKEN cDNA 4930473A06 gene</v>
      </c>
      <c r="J320" t="str">
        <f>"protein coding gene"</f>
        <v>protein coding gene</v>
      </c>
    </row>
    <row r="321" spans="1:10">
      <c r="A321">
        <v>10526120</v>
      </c>
      <c r="B321">
        <v>2.1255977257879701</v>
      </c>
      <c r="C321">
        <v>0.61333292866454603</v>
      </c>
      <c r="E321" t="str">
        <f>"10526120"</f>
        <v>10526120</v>
      </c>
      <c r="F321" t="str">
        <f t="shared" si="22"/>
        <v>Affy 1.0 ST</v>
      </c>
      <c r="G321" t="str">
        <f>"MGI:1298231"</f>
        <v>MGI:1298231</v>
      </c>
      <c r="H321" t="str">
        <f>"Tpst1"</f>
        <v>Tpst1</v>
      </c>
      <c r="I321" t="str">
        <f>"protein-tyrosine sulfotransferase 1"</f>
        <v>protein-tyrosine sulfotransferase 1</v>
      </c>
      <c r="J321" t="str">
        <f>"protein coding gene"</f>
        <v>protein coding gene</v>
      </c>
    </row>
    <row r="322" spans="1:10">
      <c r="A322">
        <v>10415875</v>
      </c>
      <c r="B322">
        <v>2.1246822830083798</v>
      </c>
      <c r="C322">
        <v>0.61611362606012698</v>
      </c>
      <c r="E322" t="str">
        <f>"10415875"</f>
        <v>10415875</v>
      </c>
      <c r="F322" t="str">
        <f t="shared" si="22"/>
        <v>Affy 1.0 ST</v>
      </c>
      <c r="G322" t="str">
        <f>"MGI:1919650"</f>
        <v>MGI:1919650</v>
      </c>
      <c r="H322" t="str">
        <f>"Pinx1"</f>
        <v>Pinx1</v>
      </c>
      <c r="I322" t="s">
        <v>515</v>
      </c>
      <c r="J322" t="s">
        <v>2010</v>
      </c>
    </row>
    <row r="323" spans="1:10">
      <c r="A323">
        <v>10369989</v>
      </c>
      <c r="B323">
        <v>2.1220886433912698</v>
      </c>
      <c r="C323">
        <v>0.38772779719933897</v>
      </c>
      <c r="E323" t="str">
        <f>"10369989"</f>
        <v>10369989</v>
      </c>
      <c r="F323" t="str">
        <f t="shared" si="22"/>
        <v>Affy 1.0 ST</v>
      </c>
      <c r="G323" t="str">
        <f>"MGI:1298381"</f>
        <v>MGI:1298381</v>
      </c>
      <c r="H323" t="str">
        <f>"Ddt"</f>
        <v>Ddt</v>
      </c>
      <c r="I323" t="str">
        <f>"D-dopachrome tautomerase"</f>
        <v>D-dopachrome tautomerase</v>
      </c>
      <c r="J323" t="str">
        <f>"protein coding gene"</f>
        <v>protein coding gene</v>
      </c>
    </row>
    <row r="324" spans="1:10">
      <c r="A324">
        <v>10550935</v>
      </c>
      <c r="B324">
        <v>2.1201049793127398</v>
      </c>
      <c r="C324">
        <v>0.55218936728516199</v>
      </c>
      <c r="E324" t="str">
        <f>"10550935"</f>
        <v>10550935</v>
      </c>
      <c r="F324" t="str">
        <f t="shared" si="22"/>
        <v>Affy 1.0 ST</v>
      </c>
      <c r="G324" t="str">
        <f>"MGI:99137"</f>
        <v>MGI:99137</v>
      </c>
      <c r="H324" t="str">
        <f>"Xrcc1"</f>
        <v>Xrcc1</v>
      </c>
      <c r="I324" t="str">
        <f>"X-ray repair complementing defective repair in Chinese hamster cells 1"</f>
        <v>X-ray repair complementing defective repair in Chinese hamster cells 1</v>
      </c>
      <c r="J324" t="str">
        <f>"protein coding gene"</f>
        <v>protein coding gene</v>
      </c>
    </row>
    <row r="325" spans="1:10">
      <c r="A325">
        <v>10485466</v>
      </c>
      <c r="B325">
        <v>2.1167942510763398</v>
      </c>
      <c r="C325">
        <v>0.149151996776967</v>
      </c>
      <c r="E325" t="str">
        <f>"10485466"</f>
        <v>10485466</v>
      </c>
      <c r="F325" t="str">
        <f t="shared" si="22"/>
        <v>Affy 1.0 ST</v>
      </c>
      <c r="G325" t="str">
        <f>"MGI:88271"</f>
        <v>MGI:88271</v>
      </c>
      <c r="H325" t="str">
        <f>"Cat"</f>
        <v>Cat</v>
      </c>
      <c r="I325" t="str">
        <f>"catalase"</f>
        <v>catalase</v>
      </c>
      <c r="J325" t="str">
        <f>"protein coding gene"</f>
        <v>protein coding gene</v>
      </c>
    </row>
    <row r="326" spans="1:10">
      <c r="A326">
        <v>10474223</v>
      </c>
      <c r="B326">
        <v>2.1155218507375002</v>
      </c>
      <c r="C326">
        <v>0.44407004937915201</v>
      </c>
      <c r="E326" t="str">
        <f>"10474223"</f>
        <v>10474223</v>
      </c>
      <c r="F326" t="str">
        <f t="shared" si="22"/>
        <v>Affy 1.0 ST</v>
      </c>
      <c r="G326" t="str">
        <f>"MGI:1888996"</f>
        <v>MGI:1888996</v>
      </c>
      <c r="H326" t="str">
        <f>"Cd59b"</f>
        <v>Cd59b</v>
      </c>
      <c r="I326" t="str">
        <f>"CD59b antigen"</f>
        <v>CD59b antigen</v>
      </c>
      <c r="J326" t="str">
        <f>"protein coding gene"</f>
        <v>protein coding gene</v>
      </c>
    </row>
    <row r="327" spans="1:10">
      <c r="A327">
        <v>10538873</v>
      </c>
      <c r="B327">
        <v>2.1150422489385199</v>
      </c>
      <c r="C327">
        <v>0.51418325498237305</v>
      </c>
      <c r="E327" t="str">
        <f>"10538873"</f>
        <v>10538873</v>
      </c>
      <c r="F327" t="str">
        <f>""</f>
        <v/>
      </c>
      <c r="G327" t="str">
        <f>"No associated gene"</f>
        <v>No associated gene</v>
      </c>
    </row>
    <row r="328" spans="1:10">
      <c r="A328">
        <v>10571815</v>
      </c>
      <c r="B328">
        <v>2.1140440191598402</v>
      </c>
      <c r="C328">
        <v>0.16746067594559999</v>
      </c>
      <c r="E328" t="str">
        <f>"10571815"</f>
        <v>10571815</v>
      </c>
      <c r="F328" t="str">
        <f t="shared" ref="F328:F363" si="23">"Affy 1.0 ST"</f>
        <v>Affy 1.0 ST</v>
      </c>
      <c r="G328" t="str">
        <f>"MGI:107671"</f>
        <v>MGI:107671</v>
      </c>
      <c r="H328" t="str">
        <f>"Gpm6a"</f>
        <v>Gpm6a</v>
      </c>
      <c r="I328" t="str">
        <f>"glycoprotein m6a"</f>
        <v>glycoprotein m6a</v>
      </c>
      <c r="J328" t="str">
        <f>"protein coding gene"</f>
        <v>protein coding gene</v>
      </c>
    </row>
    <row r="329" spans="1:10">
      <c r="A329">
        <v>10399024</v>
      </c>
      <c r="B329">
        <v>2.1135866780396002</v>
      </c>
      <c r="C329">
        <v>0.396765791088179</v>
      </c>
      <c r="E329" t="str">
        <f>"10399024"</f>
        <v>10399024</v>
      </c>
      <c r="F329" t="str">
        <f t="shared" si="23"/>
        <v>Affy 1.0 ST</v>
      </c>
      <c r="G329" t="str">
        <f>"MGI:2444636"</f>
        <v>MGI:2444636</v>
      </c>
      <c r="H329" t="str">
        <f>"Adam6b"</f>
        <v>Adam6b</v>
      </c>
      <c r="I329" t="str">
        <f>"a disintegrin and metallopeptidase domain 6B"</f>
        <v>a disintegrin and metallopeptidase domain 6B</v>
      </c>
      <c r="J329" t="str">
        <f>"protein coding gene"</f>
        <v>protein coding gene</v>
      </c>
    </row>
    <row r="330" spans="1:10">
      <c r="A330">
        <v>10593060</v>
      </c>
      <c r="B330">
        <v>2.1085625428443202</v>
      </c>
      <c r="C330">
        <v>0.36510657011661701</v>
      </c>
      <c r="E330" t="str">
        <f>"10593060"</f>
        <v>10593060</v>
      </c>
      <c r="F330" t="str">
        <f t="shared" si="23"/>
        <v>Affy 1.0 ST</v>
      </c>
      <c r="G330" t="str">
        <f>"MGI:2384878"</f>
        <v>MGI:2384878</v>
      </c>
      <c r="H330" t="str">
        <f>"Cep164"</f>
        <v>Cep164</v>
      </c>
      <c r="I330" t="str">
        <f>"centrosomal protein 164"</f>
        <v>centrosomal protein 164</v>
      </c>
      <c r="J330" t="str">
        <f>"protein coding gene"</f>
        <v>protein coding gene</v>
      </c>
    </row>
    <row r="331" spans="1:10">
      <c r="A331">
        <v>10379795</v>
      </c>
      <c r="B331">
        <v>2.1064486191707799</v>
      </c>
      <c r="C331">
        <v>0.46293284662748002</v>
      </c>
      <c r="E331" t="str">
        <f>"10379795"</f>
        <v>10379795</v>
      </c>
      <c r="F331" t="str">
        <f t="shared" si="23"/>
        <v>Affy 1.0 ST</v>
      </c>
      <c r="G331" t="str">
        <f>"MGI:1354742"</f>
        <v>MGI:1354742</v>
      </c>
      <c r="H331" t="str">
        <f>"Synrg"</f>
        <v>Synrg</v>
      </c>
      <c r="I331" t="s">
        <v>584</v>
      </c>
      <c r="J331" t="s">
        <v>2010</v>
      </c>
    </row>
    <row r="332" spans="1:10">
      <c r="A332">
        <v>10602865</v>
      </c>
      <c r="B332">
        <v>2.1006906750779502</v>
      </c>
      <c r="C332">
        <v>0.23864733315720599</v>
      </c>
      <c r="E332" t="str">
        <f>"10602865"</f>
        <v>10602865</v>
      </c>
      <c r="F332" t="str">
        <f t="shared" si="23"/>
        <v>Affy 1.0 ST</v>
      </c>
      <c r="G332" t="str">
        <f>"MGI:2448588"</f>
        <v>MGI:2448588</v>
      </c>
      <c r="H332" t="str">
        <f>"Map3k15"</f>
        <v>Map3k15</v>
      </c>
      <c r="I332" t="str">
        <f>"mitogen-activated protein kinase kinase kinase 15"</f>
        <v>mitogen-activated protein kinase kinase kinase 15</v>
      </c>
      <c r="J332" t="str">
        <f>"protein coding gene"</f>
        <v>protein coding gene</v>
      </c>
    </row>
    <row r="333" spans="1:10">
      <c r="A333">
        <v>10410877</v>
      </c>
      <c r="B333">
        <v>2.09411646490409</v>
      </c>
      <c r="C333">
        <v>0.50307874220806503</v>
      </c>
      <c r="E333" t="str">
        <f>"10410877"</f>
        <v>10410877</v>
      </c>
      <c r="F333" t="str">
        <f t="shared" si="23"/>
        <v>Affy 1.0 ST</v>
      </c>
      <c r="G333" t="str">
        <f>"MGI:1914736"</f>
        <v>MGI:1914736</v>
      </c>
      <c r="H333" t="str">
        <f>"Polr3g"</f>
        <v>Polr3g</v>
      </c>
      <c r="I333" t="str">
        <f>"polymerase (RNA) III (DNA directed) polypeptide G"</f>
        <v>polymerase (RNA) III (DNA directed) polypeptide G</v>
      </c>
      <c r="J333" t="str">
        <f>"protein coding gene"</f>
        <v>protein coding gene</v>
      </c>
    </row>
    <row r="334" spans="1:10">
      <c r="A334">
        <v>10390328</v>
      </c>
      <c r="B334">
        <v>2.0888433678752198</v>
      </c>
      <c r="C334">
        <v>0.22597768639420801</v>
      </c>
      <c r="E334" t="str">
        <f>"10390328"</f>
        <v>10390328</v>
      </c>
      <c r="F334" t="str">
        <f t="shared" si="23"/>
        <v>Affy 1.0 ST</v>
      </c>
      <c r="G334" t="str">
        <f>"MGI:1888984"</f>
        <v>MGI:1888984</v>
      </c>
      <c r="H334" t="str">
        <f>"Tbx21"</f>
        <v>Tbx21</v>
      </c>
      <c r="I334" t="str">
        <f>"T-box 21"</f>
        <v>T-box 21</v>
      </c>
      <c r="J334" t="str">
        <f>"protein coding gene"</f>
        <v>protein coding gene</v>
      </c>
    </row>
    <row r="335" spans="1:10">
      <c r="A335">
        <v>10518726</v>
      </c>
      <c r="B335">
        <v>2.0722223453522202</v>
      </c>
      <c r="C335">
        <v>0.41160179257338902</v>
      </c>
      <c r="E335" t="str">
        <f>"10518726"</f>
        <v>10518726</v>
      </c>
      <c r="F335" t="str">
        <f t="shared" si="23"/>
        <v>Affy 1.0 ST</v>
      </c>
      <c r="G335" t="str">
        <f>"MGI:1917806"</f>
        <v>MGI:1917806</v>
      </c>
      <c r="H335" t="str">
        <f>"Slc25a33"</f>
        <v>Slc25a33</v>
      </c>
      <c r="I335" t="s">
        <v>28</v>
      </c>
      <c r="J335" t="s">
        <v>2010</v>
      </c>
    </row>
    <row r="336" spans="1:10">
      <c r="A336">
        <v>10564938</v>
      </c>
      <c r="B336">
        <v>2.0573165854128401</v>
      </c>
      <c r="C336">
        <v>0.57762299976725495</v>
      </c>
      <c r="E336" t="str">
        <f>"10564938"</f>
        <v>10564938</v>
      </c>
      <c r="F336" t="str">
        <f t="shared" si="23"/>
        <v>Affy 1.0 ST</v>
      </c>
      <c r="G336" t="str">
        <f>"MGI:95514"</f>
        <v>MGI:95514</v>
      </c>
      <c r="H336" t="str">
        <f>"Fes"</f>
        <v>Fes</v>
      </c>
      <c r="I336" t="str">
        <f>"feline sarcoma oncogene"</f>
        <v>feline sarcoma oncogene</v>
      </c>
      <c r="J336" t="str">
        <f>"protein coding gene"</f>
        <v>protein coding gene</v>
      </c>
    </row>
    <row r="337" spans="1:10">
      <c r="A337">
        <v>10525397</v>
      </c>
      <c r="B337">
        <v>2.0558044790359098</v>
      </c>
      <c r="C337">
        <v>0.36727293078235201</v>
      </c>
      <c r="E337" t="str">
        <f>"10525397"</f>
        <v>10525397</v>
      </c>
      <c r="F337" t="str">
        <f t="shared" si="23"/>
        <v>Affy 1.0 ST</v>
      </c>
      <c r="G337" t="str">
        <f>"MGI:1928375"</f>
        <v>MGI:1928375</v>
      </c>
      <c r="H337" t="str">
        <f>"Arpc3"</f>
        <v>Arpc3</v>
      </c>
      <c r="I337" t="s">
        <v>29</v>
      </c>
      <c r="J337" t="s">
        <v>2010</v>
      </c>
    </row>
    <row r="338" spans="1:10">
      <c r="A338">
        <v>10464409</v>
      </c>
      <c r="B338">
        <v>2.0511551376491699</v>
      </c>
      <c r="C338">
        <v>0.40130605815072901</v>
      </c>
      <c r="E338" t="str">
        <f>"10464409"</f>
        <v>10464409</v>
      </c>
      <c r="F338" t="str">
        <f t="shared" si="23"/>
        <v>Affy 1.0 ST</v>
      </c>
      <c r="G338" t="str">
        <f>"MGI:2669254"</f>
        <v>MGI:2669254</v>
      </c>
      <c r="H338" t="str">
        <f>"Nanos1"</f>
        <v>Nanos1</v>
      </c>
      <c r="I338" t="str">
        <f>"nanos homolog 1 (Drosophila)"</f>
        <v>nanos homolog 1 (Drosophila)</v>
      </c>
      <c r="J338" t="str">
        <f>"protein coding gene"</f>
        <v>protein coding gene</v>
      </c>
    </row>
    <row r="339" spans="1:10">
      <c r="A339">
        <v>10495685</v>
      </c>
      <c r="B339">
        <v>2.0338370624374602</v>
      </c>
      <c r="C339">
        <v>0.14384782036743499</v>
      </c>
      <c r="E339" t="str">
        <f>"10495685"</f>
        <v>10495685</v>
      </c>
      <c r="F339" t="str">
        <f t="shared" si="23"/>
        <v>Affy 1.0 ST</v>
      </c>
      <c r="G339" t="str">
        <f>"MGI:2443818"</f>
        <v>MGI:2443818</v>
      </c>
      <c r="H339" t="str">
        <f>"Arhgap29"</f>
        <v>Arhgap29</v>
      </c>
      <c r="I339" t="str">
        <f>"Rho GTPase activating protein 29"</f>
        <v>Rho GTPase activating protein 29</v>
      </c>
      <c r="J339" t="str">
        <f>"protein coding gene"</f>
        <v>protein coding gene</v>
      </c>
    </row>
    <row r="340" spans="1:10">
      <c r="A340">
        <v>10346747</v>
      </c>
      <c r="B340">
        <v>2.0331990962236701</v>
      </c>
      <c r="C340">
        <v>0.74119132670673904</v>
      </c>
      <c r="E340" t="str">
        <f>"10346747"</f>
        <v>10346747</v>
      </c>
      <c r="F340" t="str">
        <f t="shared" si="23"/>
        <v>Affy 1.0 ST</v>
      </c>
      <c r="G340" t="str">
        <f>"MGI:1925201"</f>
        <v>MGI:1925201</v>
      </c>
      <c r="H340" t="str">
        <f>"Cyp20a1"</f>
        <v>Cyp20a1</v>
      </c>
      <c r="I340" t="s">
        <v>30</v>
      </c>
      <c r="J340" t="s">
        <v>2010</v>
      </c>
    </row>
    <row r="341" spans="1:10">
      <c r="A341">
        <v>10481349</v>
      </c>
      <c r="B341">
        <v>2.03046583976829</v>
      </c>
      <c r="C341">
        <v>0.51803466401362397</v>
      </c>
      <c r="E341" t="str">
        <f>"10481349"</f>
        <v>10481349</v>
      </c>
      <c r="F341" t="str">
        <f t="shared" si="23"/>
        <v>Affy 1.0 ST</v>
      </c>
      <c r="G341" t="str">
        <f>"MGI:2159341"</f>
        <v>MGI:2159341</v>
      </c>
      <c r="H341" t="str">
        <f>"Ntng2"</f>
        <v>Ntng2</v>
      </c>
      <c r="I341" t="str">
        <f>"netrin G2"</f>
        <v>netrin G2</v>
      </c>
      <c r="J341" t="str">
        <f>"protein coding gene"</f>
        <v>protein coding gene</v>
      </c>
    </row>
    <row r="342" spans="1:10">
      <c r="A342">
        <v>10344633</v>
      </c>
      <c r="B342">
        <v>2.0299026631264301</v>
      </c>
      <c r="C342">
        <v>0.23943543671797499</v>
      </c>
      <c r="E342" t="str">
        <f>"10344633"</f>
        <v>10344633</v>
      </c>
      <c r="F342" t="str">
        <f t="shared" si="23"/>
        <v>Affy 1.0 ST</v>
      </c>
      <c r="G342" t="str">
        <f>"MGI:1196624"</f>
        <v>MGI:1196624</v>
      </c>
      <c r="H342" t="str">
        <f>"Tcea1"</f>
        <v>Tcea1</v>
      </c>
      <c r="I342" t="str">
        <f>"transcription elongation factor A (SII) 1"</f>
        <v>transcription elongation factor A (SII) 1</v>
      </c>
      <c r="J342" t="str">
        <f>"protein coding gene"</f>
        <v>protein coding gene</v>
      </c>
    </row>
    <row r="343" spans="1:10">
      <c r="A343">
        <v>10400030</v>
      </c>
      <c r="B343">
        <v>2.0269001245793099</v>
      </c>
      <c r="C343">
        <v>0.36488750109517398</v>
      </c>
      <c r="E343" t="str">
        <f>"10400030"</f>
        <v>10400030</v>
      </c>
      <c r="F343" t="str">
        <f t="shared" si="23"/>
        <v>Affy 1.0 ST</v>
      </c>
      <c r="G343" t="str">
        <f>"MGI:1914162"</f>
        <v>MGI:1914162</v>
      </c>
      <c r="H343" t="str">
        <f>"Bzw2"</f>
        <v>Bzw2</v>
      </c>
      <c r="I343" t="str">
        <f>"basic leucine zipper and W2 domains 2"</f>
        <v>basic leucine zipper and W2 domains 2</v>
      </c>
      <c r="J343" t="str">
        <f>"protein coding gene"</f>
        <v>protein coding gene</v>
      </c>
    </row>
    <row r="344" spans="1:10">
      <c r="A344">
        <v>10375975</v>
      </c>
      <c r="B344">
        <v>2.02497571811378</v>
      </c>
      <c r="C344">
        <v>0.34302027213665498</v>
      </c>
      <c r="E344" t="str">
        <f>"10375975"</f>
        <v>10375975</v>
      </c>
      <c r="F344" t="str">
        <f t="shared" si="23"/>
        <v>Affy 1.0 ST</v>
      </c>
      <c r="G344" t="str">
        <f>"MGI:1196228"</f>
        <v>MGI:1196228</v>
      </c>
      <c r="H344" t="str">
        <f>"Zcchc10"</f>
        <v>Zcchc10</v>
      </c>
      <c r="I344" t="s">
        <v>2070</v>
      </c>
      <c r="J344" t="s">
        <v>2010</v>
      </c>
    </row>
    <row r="345" spans="1:10">
      <c r="A345">
        <v>10508663</v>
      </c>
      <c r="B345">
        <v>2.0222166677617799</v>
      </c>
      <c r="C345">
        <v>0.19973531920332699</v>
      </c>
      <c r="E345" t="str">
        <f>"10508663"</f>
        <v>10508663</v>
      </c>
      <c r="F345" t="str">
        <f t="shared" si="23"/>
        <v>Affy 1.0 ST</v>
      </c>
      <c r="G345" t="str">
        <f>"MGI:108046"</f>
        <v>MGI:108046</v>
      </c>
      <c r="H345" t="str">
        <f>"Laptm5"</f>
        <v>Laptm5</v>
      </c>
      <c r="I345" t="str">
        <f>"lysosomal-associated protein transmembrane 5"</f>
        <v>lysosomal-associated protein transmembrane 5</v>
      </c>
      <c r="J345" t="str">
        <f>"protein coding gene"</f>
        <v>protein coding gene</v>
      </c>
    </row>
    <row r="346" spans="1:10">
      <c r="A346">
        <v>10503023</v>
      </c>
      <c r="B346">
        <v>2.0218531078346502</v>
      </c>
      <c r="C346">
        <v>0.29027725160745899</v>
      </c>
      <c r="E346" t="str">
        <f>"10503023"</f>
        <v>10503023</v>
      </c>
      <c r="F346" t="str">
        <f t="shared" si="23"/>
        <v>Affy 1.0 ST</v>
      </c>
      <c r="G346" t="str">
        <f>"MGI:1339968"</f>
        <v>MGI:1339968</v>
      </c>
      <c r="H346" t="str">
        <f>"Cth"</f>
        <v>Cth</v>
      </c>
      <c r="I346" t="str">
        <f>"cystathionase (cystathionine gamma-lyase)"</f>
        <v>cystathionase (cystathionine gamma-lyase)</v>
      </c>
      <c r="J346" t="str">
        <f>"protein coding gene"</f>
        <v>protein coding gene</v>
      </c>
    </row>
    <row r="347" spans="1:10">
      <c r="A347">
        <v>10592790</v>
      </c>
      <c r="B347">
        <v>2.0210079970738</v>
      </c>
      <c r="C347">
        <v>0.45803390363296598</v>
      </c>
      <c r="E347" t="str">
        <f>"10592790"</f>
        <v>10592790</v>
      </c>
      <c r="F347" t="str">
        <f t="shared" si="23"/>
        <v>Affy 1.0 ST</v>
      </c>
      <c r="G347" t="str">
        <f>"MGI:2429620"</f>
        <v>MGI:2429620</v>
      </c>
      <c r="H347" t="str">
        <f>"Hinfp"</f>
        <v>Hinfp</v>
      </c>
      <c r="I347" t="str">
        <f>"histone H4 transcription factor"</f>
        <v>histone H4 transcription factor</v>
      </c>
      <c r="J347" t="str">
        <f>"protein coding gene"</f>
        <v>protein coding gene</v>
      </c>
    </row>
    <row r="348" spans="1:10">
      <c r="A348">
        <v>10358259</v>
      </c>
      <c r="B348">
        <v>2.0203984949186302</v>
      </c>
      <c r="C348">
        <v>0.353807742717276</v>
      </c>
      <c r="E348" t="str">
        <f>"10358259"</f>
        <v>10358259</v>
      </c>
      <c r="F348" t="str">
        <f t="shared" si="23"/>
        <v>Affy 1.0 ST</v>
      </c>
      <c r="G348" t="str">
        <f>"MGI:1890645"</f>
        <v>MGI:1890645</v>
      </c>
      <c r="H348" t="str">
        <f>"Nek7"</f>
        <v>Nek7</v>
      </c>
      <c r="I348" t="str">
        <f>"NIMA (never in mitosis gene a)-related expressed kinase 7"</f>
        <v>NIMA (never in mitosis gene a)-related expressed kinase 7</v>
      </c>
      <c r="J348" t="str">
        <f>"protein coding gene"</f>
        <v>protein coding gene</v>
      </c>
    </row>
    <row r="349" spans="1:10">
      <c r="A349">
        <v>10364194</v>
      </c>
      <c r="B349">
        <v>2.0167043817252299</v>
      </c>
      <c r="C349">
        <v>0.42470598382462699</v>
      </c>
      <c r="E349" t="str">
        <f>"10364194"</f>
        <v>10364194</v>
      </c>
      <c r="F349" t="str">
        <f t="shared" si="23"/>
        <v>Affy 1.0 ST</v>
      </c>
      <c r="G349" t="str">
        <f>"MGI:1336155"</f>
        <v>MGI:1336155</v>
      </c>
      <c r="H349" t="str">
        <f>"Lss"</f>
        <v>Lss</v>
      </c>
      <c r="I349" t="str">
        <f>"lanosterol synthase"</f>
        <v>lanosterol synthase</v>
      </c>
      <c r="J349" t="str">
        <f>"protein coding gene"</f>
        <v>protein coding gene</v>
      </c>
    </row>
    <row r="350" spans="1:10">
      <c r="A350">
        <v>10535273</v>
      </c>
      <c r="B350">
        <v>2.0143300469345</v>
      </c>
      <c r="C350">
        <v>5.9897975144072801E-2</v>
      </c>
      <c r="E350" t="str">
        <f>"10535273"</f>
        <v>10535273</v>
      </c>
      <c r="F350" t="str">
        <f t="shared" si="23"/>
        <v>Affy 1.0 ST</v>
      </c>
      <c r="G350" t="str">
        <f>"MGI:95767"</f>
        <v>MGI:95767</v>
      </c>
      <c r="H350" t="str">
        <f>"Gna12"</f>
        <v>Gna12</v>
      </c>
      <c r="I350" t="s">
        <v>590</v>
      </c>
      <c r="J350" t="s">
        <v>2010</v>
      </c>
    </row>
    <row r="351" spans="1:10">
      <c r="A351">
        <v>10438575</v>
      </c>
      <c r="B351">
        <v>2.0113733948614501</v>
      </c>
      <c r="C351">
        <v>0.37789122110083501</v>
      </c>
      <c r="E351" t="str">
        <f>"10438575"</f>
        <v>10438575</v>
      </c>
      <c r="F351" t="str">
        <f t="shared" si="23"/>
        <v>Affy 1.0 ST</v>
      </c>
      <c r="G351" t="str">
        <f>"MGI:1277964"</f>
        <v>MGI:1277964</v>
      </c>
      <c r="H351" t="str">
        <f>"Ehhadh"</f>
        <v>Ehhadh</v>
      </c>
      <c r="I351" t="s">
        <v>890</v>
      </c>
      <c r="J351" t="s">
        <v>2010</v>
      </c>
    </row>
    <row r="352" spans="1:10">
      <c r="A352">
        <v>10425923</v>
      </c>
      <c r="B352">
        <v>2.0099651088227901</v>
      </c>
      <c r="C352">
        <v>0.20368148809318401</v>
      </c>
      <c r="E352" t="str">
        <f>"10425923"</f>
        <v>10425923</v>
      </c>
      <c r="F352" t="str">
        <f t="shared" si="23"/>
        <v>Affy 1.0 ST</v>
      </c>
      <c r="G352" t="str">
        <f>"MGI:1920475"</f>
        <v>MGI:1920475</v>
      </c>
      <c r="H352" t="str">
        <f>"Fam118a"</f>
        <v>Fam118a</v>
      </c>
      <c r="I352" t="s">
        <v>740</v>
      </c>
      <c r="J352" t="s">
        <v>2010</v>
      </c>
    </row>
    <row r="353" spans="1:10">
      <c r="A353">
        <v>10595382</v>
      </c>
      <c r="B353">
        <v>2.0080770182486001</v>
      </c>
      <c r="C353">
        <v>0.59479956678264101</v>
      </c>
      <c r="E353" t="str">
        <f>"10595382"</f>
        <v>10595382</v>
      </c>
      <c r="F353" t="str">
        <f t="shared" si="23"/>
        <v>Affy 1.0 ST</v>
      </c>
      <c r="G353" t="str">
        <f>"MGI:1923032"</f>
        <v>MGI:1923032</v>
      </c>
      <c r="H353" t="str">
        <f>"Lca5"</f>
        <v>Lca5</v>
      </c>
      <c r="I353" t="str">
        <f>"Leber congenital amaurosis 5 (human)"</f>
        <v>Leber congenital amaurosis 5 (human)</v>
      </c>
      <c r="J353" t="str">
        <f>"protein coding gene"</f>
        <v>protein coding gene</v>
      </c>
    </row>
    <row r="354" spans="1:10">
      <c r="A354">
        <v>10585680</v>
      </c>
      <c r="B354">
        <v>2.0066844535413302</v>
      </c>
      <c r="C354">
        <v>0.171326502682286</v>
      </c>
      <c r="E354" t="str">
        <f>"10585680"</f>
        <v>10585680</v>
      </c>
      <c r="F354" t="str">
        <f t="shared" si="23"/>
        <v>Affy 1.0 ST</v>
      </c>
      <c r="G354" t="str">
        <f>"MGI:3642697"</f>
        <v>MGI:3642697</v>
      </c>
      <c r="H354" t="str">
        <f>"Gm16493"</f>
        <v>Gm16493</v>
      </c>
      <c r="I354" t="str">
        <f>"predicted gene 16493"</f>
        <v>predicted gene 16493</v>
      </c>
      <c r="J354" t="str">
        <f>"protein coding gene"</f>
        <v>protein coding gene</v>
      </c>
    </row>
    <row r="355" spans="1:10">
      <c r="A355">
        <v>10531560</v>
      </c>
      <c r="B355">
        <v>1.9977609247327399</v>
      </c>
      <c r="C355">
        <v>0.109926409270016</v>
      </c>
      <c r="E355" t="str">
        <f>"10531560"</f>
        <v>10531560</v>
      </c>
      <c r="F355" t="str">
        <f t="shared" si="23"/>
        <v>Affy 1.0 ST</v>
      </c>
      <c r="G355" t="str">
        <f>"MGI:1919164"</f>
        <v>MGI:1919164</v>
      </c>
      <c r="H355" t="str">
        <f>"Antxr2"</f>
        <v>Antxr2</v>
      </c>
      <c r="I355" t="str">
        <f>"anthrax toxin receptor 2"</f>
        <v>anthrax toxin receptor 2</v>
      </c>
      <c r="J355" t="str">
        <f>"protein coding gene"</f>
        <v>protein coding gene</v>
      </c>
    </row>
    <row r="356" spans="1:10">
      <c r="A356">
        <v>10450496</v>
      </c>
      <c r="B356">
        <v>1.9929332970007101</v>
      </c>
      <c r="C356">
        <v>0.30087902990363802</v>
      </c>
      <c r="E356" t="str">
        <f>"10450496"</f>
        <v>10450496</v>
      </c>
      <c r="F356" t="str">
        <f t="shared" si="23"/>
        <v>Affy 1.0 ST</v>
      </c>
      <c r="G356" t="str">
        <f>"MGI:1096324"</f>
        <v>MGI:1096324</v>
      </c>
      <c r="H356" t="str">
        <f>"Lst1"</f>
        <v>Lst1</v>
      </c>
      <c r="I356" t="str">
        <f>"leukocyte specific transcript 1"</f>
        <v>leukocyte specific transcript 1</v>
      </c>
      <c r="J356" t="str">
        <f>"protein coding gene"</f>
        <v>protein coding gene</v>
      </c>
    </row>
    <row r="357" spans="1:10">
      <c r="A357">
        <v>10607497</v>
      </c>
      <c r="B357">
        <v>1.98799563900298</v>
      </c>
      <c r="C357">
        <v>0.55004289975713305</v>
      </c>
      <c r="E357" t="str">
        <f>"10607497"</f>
        <v>10607497</v>
      </c>
      <c r="F357" t="str">
        <f t="shared" si="23"/>
        <v>Affy 1.0 ST</v>
      </c>
      <c r="G357" t="str">
        <f>"MGI:1306824"</f>
        <v>MGI:1306824</v>
      </c>
      <c r="H357" t="str">
        <f>"Suclg2"</f>
        <v>Suclg2</v>
      </c>
      <c r="I357" t="s">
        <v>31</v>
      </c>
      <c r="J357" t="s">
        <v>2010</v>
      </c>
    </row>
    <row r="358" spans="1:10">
      <c r="A358">
        <v>10418355</v>
      </c>
      <c r="B358">
        <v>1.98265884706742</v>
      </c>
      <c r="C358">
        <v>0.20868662277289299</v>
      </c>
      <c r="E358" t="str">
        <f>"10418355"</f>
        <v>10418355</v>
      </c>
      <c r="F358" t="str">
        <f t="shared" si="23"/>
        <v>Affy 1.0 ST</v>
      </c>
      <c r="G358" t="str">
        <f>"MGI:88293"</f>
        <v>MGI:88293</v>
      </c>
      <c r="H358" t="str">
        <f>"Cacna1d"</f>
        <v>Cacna1d</v>
      </c>
      <c r="I358" t="s">
        <v>101</v>
      </c>
      <c r="J358" t="s">
        <v>2010</v>
      </c>
    </row>
    <row r="359" spans="1:10">
      <c r="A359">
        <v>10474064</v>
      </c>
      <c r="B359">
        <v>1.9798019705273999</v>
      </c>
      <c r="C359">
        <v>0.321696445630346</v>
      </c>
      <c r="E359" t="str">
        <f>"10474064"</f>
        <v>10474064</v>
      </c>
      <c r="F359" t="str">
        <f t="shared" si="23"/>
        <v>Affy 1.0 ST</v>
      </c>
      <c r="G359" t="str">
        <f>"MGI:2670995"</f>
        <v>MGI:2670995</v>
      </c>
      <c r="H359" t="str">
        <f>"Trp53i11"</f>
        <v>Trp53i11</v>
      </c>
      <c r="I359" t="str">
        <f>"transformation related protein 53 inducible protein 11"</f>
        <v>transformation related protein 53 inducible protein 11</v>
      </c>
      <c r="J359" t="str">
        <f>"protein coding gene"</f>
        <v>protein coding gene</v>
      </c>
    </row>
    <row r="360" spans="1:10">
      <c r="A360">
        <v>10535559</v>
      </c>
      <c r="B360">
        <v>1.9783138494491499</v>
      </c>
      <c r="C360">
        <v>0.10367266121885101</v>
      </c>
      <c r="E360" t="str">
        <f>"10535559"</f>
        <v>10535559</v>
      </c>
      <c r="F360" t="str">
        <f t="shared" si="23"/>
        <v>Affy 1.0 ST</v>
      </c>
      <c r="G360" t="str">
        <f>"MGI:1914148"</f>
        <v>MGI:1914148</v>
      </c>
      <c r="H360" t="str">
        <f>"Baiap2l1"</f>
        <v>Baiap2l1</v>
      </c>
      <c r="I360" t="str">
        <f>"BAI1-associated protein 2-like 1"</f>
        <v>BAI1-associated protein 2-like 1</v>
      </c>
      <c r="J360" t="str">
        <f>"protein coding gene"</f>
        <v>protein coding gene</v>
      </c>
    </row>
    <row r="361" spans="1:10">
      <c r="A361">
        <v>10508454</v>
      </c>
      <c r="B361">
        <v>1.97616998474532</v>
      </c>
      <c r="C361">
        <v>0.41238662705781498</v>
      </c>
      <c r="E361" t="str">
        <f>"10508454"</f>
        <v>10508454</v>
      </c>
      <c r="F361" t="str">
        <f t="shared" si="23"/>
        <v>Affy 1.0 ST</v>
      </c>
      <c r="G361" t="str">
        <f>"MGI:1913466"</f>
        <v>MGI:1913466</v>
      </c>
      <c r="H361" t="str">
        <f>"Bsdc1"</f>
        <v>Bsdc1</v>
      </c>
      <c r="I361" t="str">
        <f>"BSD domain containing 1"</f>
        <v>BSD domain containing 1</v>
      </c>
      <c r="J361" t="str">
        <f>"protein coding gene"</f>
        <v>protein coding gene</v>
      </c>
    </row>
    <row r="362" spans="1:10">
      <c r="A362">
        <v>10431856</v>
      </c>
      <c r="B362">
        <v>1.9694385418729701</v>
      </c>
      <c r="C362">
        <v>0.48957188593920897</v>
      </c>
      <c r="E362" t="str">
        <f>"10431856"</f>
        <v>10431856</v>
      </c>
      <c r="F362" t="str">
        <f t="shared" si="23"/>
        <v>Affy 1.0 ST</v>
      </c>
      <c r="G362" t="str">
        <f>"MGI:1919443"</f>
        <v>MGI:1919443</v>
      </c>
      <c r="H362" t="str">
        <f>"Scaf11"</f>
        <v>Scaf11</v>
      </c>
      <c r="I362" t="str">
        <f>"SR-related CTD-associated factor 11"</f>
        <v>SR-related CTD-associated factor 11</v>
      </c>
      <c r="J362" t="str">
        <f>"protein coding gene"</f>
        <v>protein coding gene</v>
      </c>
    </row>
    <row r="363" spans="1:10">
      <c r="A363">
        <v>10578521</v>
      </c>
      <c r="B363">
        <v>1.96737293819119</v>
      </c>
      <c r="C363">
        <v>0.30067029118823502</v>
      </c>
      <c r="E363" t="str">
        <f>"10578521"</f>
        <v>10578521</v>
      </c>
      <c r="F363" t="str">
        <f t="shared" si="23"/>
        <v>Affy 1.0 ST</v>
      </c>
      <c r="G363" t="str">
        <f>"MGI:2142610"</f>
        <v>MGI:2142610</v>
      </c>
      <c r="H363" t="str">
        <f>"Snx25"</f>
        <v>Snx25</v>
      </c>
      <c r="I363" t="str">
        <f>"sorting nexin 25"</f>
        <v>sorting nexin 25</v>
      </c>
      <c r="J363" t="str">
        <f>"protein coding gene"</f>
        <v>protein coding gene</v>
      </c>
    </row>
    <row r="364" spans="1:10">
      <c r="A364">
        <v>10365830</v>
      </c>
      <c r="B364">
        <v>1.9626910621046101</v>
      </c>
      <c r="C364">
        <v>0.52436438742806102</v>
      </c>
      <c r="E364" t="str">
        <f>"10365830"</f>
        <v>10365830</v>
      </c>
      <c r="F364" t="str">
        <f>""</f>
        <v/>
      </c>
      <c r="G364" t="str">
        <f>"No associated gene"</f>
        <v>No associated gene</v>
      </c>
    </row>
    <row r="365" spans="1:10">
      <c r="A365">
        <v>10363599</v>
      </c>
      <c r="B365">
        <v>1.9573101244633899</v>
      </c>
      <c r="C365">
        <v>0.40680224301192502</v>
      </c>
      <c r="E365" t="str">
        <f>"10363599"</f>
        <v>10363599</v>
      </c>
      <c r="F365" t="str">
        <f t="shared" ref="F365:F384" si="24">"Affy 1.0 ST"</f>
        <v>Affy 1.0 ST</v>
      </c>
      <c r="G365" t="str">
        <f>"MGI:1917682"</f>
        <v>MGI:1917682</v>
      </c>
      <c r="H365" t="str">
        <f>"Rufy2"</f>
        <v>Rufy2</v>
      </c>
      <c r="I365" t="str">
        <f>"RUN and FYVE domain-containing 2"</f>
        <v>RUN and FYVE domain-containing 2</v>
      </c>
      <c r="J365" t="str">
        <f t="shared" ref="J365:J377" si="25">"protein coding gene"</f>
        <v>protein coding gene</v>
      </c>
    </row>
    <row r="366" spans="1:10">
      <c r="A366">
        <v>10471844</v>
      </c>
      <c r="B366">
        <v>1.95554512638568</v>
      </c>
      <c r="C366">
        <v>0.17580814642075099</v>
      </c>
      <c r="E366" t="str">
        <f>"10471844"</f>
        <v>10471844</v>
      </c>
      <c r="F366" t="str">
        <f t="shared" si="24"/>
        <v>Affy 1.0 ST</v>
      </c>
      <c r="G366" t="str">
        <f>"MGI:1891638"</f>
        <v>MGI:1891638</v>
      </c>
      <c r="H366" t="str">
        <f>"Nek6"</f>
        <v>Nek6</v>
      </c>
      <c r="I366" t="str">
        <f>"NIMA (never in mitosis gene a)-related expressed kinase 6"</f>
        <v>NIMA (never in mitosis gene a)-related expressed kinase 6</v>
      </c>
      <c r="J366" t="str">
        <f t="shared" si="25"/>
        <v>protein coding gene</v>
      </c>
    </row>
    <row r="367" spans="1:10">
      <c r="A367">
        <v>10566050</v>
      </c>
      <c r="B367">
        <v>1.9458279371628999</v>
      </c>
      <c r="C367">
        <v>0.21439948025198899</v>
      </c>
      <c r="E367" t="str">
        <f>"10566050"</f>
        <v>10566050</v>
      </c>
      <c r="F367" t="str">
        <f t="shared" si="24"/>
        <v>Affy 1.0 ST</v>
      </c>
      <c r="G367" t="str">
        <f>"MGI:1333800"</f>
        <v>MGI:1333800</v>
      </c>
      <c r="H367" t="str">
        <f>"Il18bp"</f>
        <v>Il18bp</v>
      </c>
      <c r="I367" t="str">
        <f>"interleukin 18 binding protein"</f>
        <v>interleukin 18 binding protein</v>
      </c>
      <c r="J367" t="str">
        <f t="shared" si="25"/>
        <v>protein coding gene</v>
      </c>
    </row>
    <row r="368" spans="1:10">
      <c r="A368">
        <v>10475866</v>
      </c>
      <c r="B368">
        <v>1.9437937782194299</v>
      </c>
      <c r="C368">
        <v>0.41822932125419798</v>
      </c>
      <c r="E368" t="str">
        <f>"10475866"</f>
        <v>10475866</v>
      </c>
      <c r="F368" t="str">
        <f t="shared" si="24"/>
        <v>Affy 1.0 ST</v>
      </c>
      <c r="G368" t="str">
        <f>"MGI:1197519"</f>
        <v>MGI:1197519</v>
      </c>
      <c r="H368" t="str">
        <f>"Bcl2l11"</f>
        <v>Bcl2l11</v>
      </c>
      <c r="I368" t="str">
        <f>"BCL2-like 11 (apoptosis facilitator)"</f>
        <v>BCL2-like 11 (apoptosis facilitator)</v>
      </c>
      <c r="J368" t="str">
        <f t="shared" si="25"/>
        <v>protein coding gene</v>
      </c>
    </row>
    <row r="369" spans="1:10">
      <c r="A369">
        <v>10508936</v>
      </c>
      <c r="B369">
        <v>1.9402946337635001</v>
      </c>
      <c r="C369">
        <v>0.35053771803658801</v>
      </c>
      <c r="E369" t="str">
        <f>"10508936"</f>
        <v>10508936</v>
      </c>
      <c r="F369" t="str">
        <f t="shared" si="24"/>
        <v>Affy 1.0 ST</v>
      </c>
      <c r="G369" t="str">
        <f>"MGI:1914836"</f>
        <v>MGI:1914836</v>
      </c>
      <c r="H369" t="str">
        <f>"Ubxn11"</f>
        <v>Ubxn11</v>
      </c>
      <c r="I369" t="str">
        <f>"UBX domain protein 11"</f>
        <v>UBX domain protein 11</v>
      </c>
      <c r="J369" t="str">
        <f t="shared" si="25"/>
        <v>protein coding gene</v>
      </c>
    </row>
    <row r="370" spans="1:10">
      <c r="A370">
        <v>10592763</v>
      </c>
      <c r="B370">
        <v>1.93710386864276</v>
      </c>
      <c r="C370">
        <v>0.18967376169418501</v>
      </c>
      <c r="E370" t="str">
        <f>"10592763"</f>
        <v>10592763</v>
      </c>
      <c r="F370" t="str">
        <f t="shared" si="24"/>
        <v>Affy 1.0 ST</v>
      </c>
      <c r="G370" t="str">
        <f>"MGI:2429611"</f>
        <v>MGI:2429611</v>
      </c>
      <c r="H370" t="str">
        <f>"Nlrx1"</f>
        <v>Nlrx1</v>
      </c>
      <c r="I370" t="str">
        <f>"NLR family member X1"</f>
        <v>NLR family member X1</v>
      </c>
      <c r="J370" t="str">
        <f t="shared" si="25"/>
        <v>protein coding gene</v>
      </c>
    </row>
    <row r="371" spans="1:10">
      <c r="A371">
        <v>10395394</v>
      </c>
      <c r="B371">
        <v>1.9314921338839799</v>
      </c>
      <c r="C371">
        <v>0.24283203007665499</v>
      </c>
      <c r="E371" t="str">
        <f>"10395394"</f>
        <v>10395394</v>
      </c>
      <c r="F371" t="str">
        <f t="shared" si="24"/>
        <v>Affy 1.0 ST</v>
      </c>
      <c r="G371" t="str">
        <f>"MGI:1923097"</f>
        <v>MGI:1923097</v>
      </c>
      <c r="H371" t="str">
        <f>"Ispd"</f>
        <v>Ispd</v>
      </c>
      <c r="I371" t="str">
        <f>"isoprenoid synthase domain containing"</f>
        <v>isoprenoid synthase domain containing</v>
      </c>
      <c r="J371" t="str">
        <f t="shared" si="25"/>
        <v>protein coding gene</v>
      </c>
    </row>
    <row r="372" spans="1:10">
      <c r="A372">
        <v>10435149</v>
      </c>
      <c r="B372">
        <v>1.9262622254417101</v>
      </c>
      <c r="C372">
        <v>5.3830708564691701E-2</v>
      </c>
      <c r="E372" t="str">
        <f>"10435149"</f>
        <v>10435149</v>
      </c>
      <c r="F372" t="str">
        <f t="shared" si="24"/>
        <v>Affy 1.0 ST</v>
      </c>
      <c r="G372" t="str">
        <f>"MGI:1917955"</f>
        <v>MGI:1917955</v>
      </c>
      <c r="H372" t="str">
        <f>"Fyttd1"</f>
        <v>Fyttd1</v>
      </c>
      <c r="I372" t="str">
        <f>"forty-two-three domain containing 1"</f>
        <v>forty-two-three domain containing 1</v>
      </c>
      <c r="J372" t="str">
        <f t="shared" si="25"/>
        <v>protein coding gene</v>
      </c>
    </row>
    <row r="373" spans="1:10">
      <c r="A373">
        <v>10384782</v>
      </c>
      <c r="B373">
        <v>1.9252408503159999</v>
      </c>
      <c r="C373">
        <v>0.18422698096506801</v>
      </c>
      <c r="E373" t="str">
        <f>"10384782"</f>
        <v>10384782</v>
      </c>
      <c r="F373" t="str">
        <f t="shared" si="24"/>
        <v>Affy 1.0 ST</v>
      </c>
      <c r="G373" t="str">
        <f>"MGI:1917172"</f>
        <v>MGI:1917172</v>
      </c>
      <c r="H373" t="str">
        <f>"Vrk2"</f>
        <v>Vrk2</v>
      </c>
      <c r="I373" t="str">
        <f>"vaccinia related kinase 2"</f>
        <v>vaccinia related kinase 2</v>
      </c>
      <c r="J373" t="str">
        <f t="shared" si="25"/>
        <v>protein coding gene</v>
      </c>
    </row>
    <row r="374" spans="1:10">
      <c r="A374">
        <v>10553935</v>
      </c>
      <c r="B374">
        <v>1.92095243617103</v>
      </c>
      <c r="C374">
        <v>0.38962513169891599</v>
      </c>
      <c r="E374" t="str">
        <f>"10553935"</f>
        <v>10553935</v>
      </c>
      <c r="F374" t="str">
        <f t="shared" si="24"/>
        <v>Affy 1.0 ST</v>
      </c>
      <c r="G374" t="str">
        <f>"MGI:2444486"</f>
        <v>MGI:2444486</v>
      </c>
      <c r="H374" t="str">
        <f>"Tarsl2"</f>
        <v>Tarsl2</v>
      </c>
      <c r="I374" t="str">
        <f>"threonyl-tRNA synthetase-like 2"</f>
        <v>threonyl-tRNA synthetase-like 2</v>
      </c>
      <c r="J374" t="str">
        <f t="shared" si="25"/>
        <v>protein coding gene</v>
      </c>
    </row>
    <row r="375" spans="1:10">
      <c r="A375">
        <v>10535247</v>
      </c>
      <c r="B375">
        <v>1.91843055261087</v>
      </c>
      <c r="C375">
        <v>0.35373837058908703</v>
      </c>
      <c r="E375" t="str">
        <f>"10535247"</f>
        <v>10535247</v>
      </c>
      <c r="F375" t="str">
        <f t="shared" si="24"/>
        <v>Affy 1.0 ST</v>
      </c>
      <c r="G375" t="str">
        <f>"MGI:1921489"</f>
        <v>MGI:1921489</v>
      </c>
      <c r="H375" t="str">
        <f>"Iqce"</f>
        <v>Iqce</v>
      </c>
      <c r="I375" t="str">
        <f>"IQ motif containing E"</f>
        <v>IQ motif containing E</v>
      </c>
      <c r="J375" t="str">
        <f t="shared" si="25"/>
        <v>protein coding gene</v>
      </c>
    </row>
    <row r="376" spans="1:10">
      <c r="A376">
        <v>10481857</v>
      </c>
      <c r="B376">
        <v>1.91643110451332</v>
      </c>
      <c r="C376">
        <v>0.269491445893002</v>
      </c>
      <c r="E376" t="str">
        <f>"10481857"</f>
        <v>10481857</v>
      </c>
      <c r="F376" t="str">
        <f t="shared" si="24"/>
        <v>Affy 1.0 ST</v>
      </c>
      <c r="G376" t="str">
        <f>"MGI:97496"</f>
        <v>MGI:97496</v>
      </c>
      <c r="H376" t="str">
        <f>"Pbx3"</f>
        <v>Pbx3</v>
      </c>
      <c r="I376" t="str">
        <f>"pre B-cell leukemia transcription factor 3"</f>
        <v>pre B-cell leukemia transcription factor 3</v>
      </c>
      <c r="J376" t="str">
        <f t="shared" si="25"/>
        <v>protein coding gene</v>
      </c>
    </row>
    <row r="377" spans="1:10">
      <c r="A377">
        <v>10351347</v>
      </c>
      <c r="B377">
        <v>1.9127605314985401</v>
      </c>
      <c r="C377">
        <v>0.53907045562476996</v>
      </c>
      <c r="E377" t="str">
        <f>"10351347"</f>
        <v>10351347</v>
      </c>
      <c r="F377" t="str">
        <f t="shared" si="24"/>
        <v>Affy 1.0 ST</v>
      </c>
      <c r="G377" t="str">
        <f>"MGI:1344382"</f>
        <v>MGI:1344382</v>
      </c>
      <c r="H377" t="str">
        <f>"Creg1"</f>
        <v>Creg1</v>
      </c>
      <c r="I377" t="str">
        <f>"cellular repressor of E1A-stimulated genes 1"</f>
        <v>cellular repressor of E1A-stimulated genes 1</v>
      </c>
      <c r="J377" t="str">
        <f t="shared" si="25"/>
        <v>protein coding gene</v>
      </c>
    </row>
    <row r="378" spans="1:10">
      <c r="A378">
        <v>10474073</v>
      </c>
      <c r="B378">
        <v>1.91107382002378</v>
      </c>
      <c r="C378">
        <v>0.21252211041340599</v>
      </c>
      <c r="E378" t="str">
        <f>"10474073"</f>
        <v>10474073</v>
      </c>
      <c r="F378" t="str">
        <f t="shared" si="24"/>
        <v>Affy 1.0 ST</v>
      </c>
      <c r="G378" t="str">
        <f>"MGI:3026916"</f>
        <v>MGI:3026916</v>
      </c>
      <c r="H378" t="str">
        <f>"C230071H18Rik"</f>
        <v>C230071H18Rik</v>
      </c>
      <c r="I378" t="str">
        <f>"RIKEN cDNA C230071H18 gene"</f>
        <v>RIKEN cDNA C230071H18 gene</v>
      </c>
      <c r="J378" t="str">
        <f>"unclassified gene"</f>
        <v>unclassified gene</v>
      </c>
    </row>
    <row r="379" spans="1:10">
      <c r="A379">
        <v>10363130</v>
      </c>
      <c r="B379">
        <v>1.91043891243708</v>
      </c>
      <c r="C379">
        <v>0.205930553764859</v>
      </c>
      <c r="E379" t="str">
        <f>"10363130"</f>
        <v>10363130</v>
      </c>
      <c r="F379" t="str">
        <f t="shared" si="24"/>
        <v>Affy 1.0 ST</v>
      </c>
      <c r="G379" t="str">
        <f>"MGI:2149946"</f>
        <v>MGI:2149946</v>
      </c>
      <c r="H379" t="str">
        <f>"Gopc"</f>
        <v>Gopc</v>
      </c>
      <c r="I379" t="str">
        <f>"golgi associated PDZ and coiled-coil motif containing"</f>
        <v>golgi associated PDZ and coiled-coil motif containing</v>
      </c>
      <c r="J379" t="str">
        <f t="shared" ref="J379:J384" si="26">"protein coding gene"</f>
        <v>protein coding gene</v>
      </c>
    </row>
    <row r="380" spans="1:10">
      <c r="A380">
        <v>10496494</v>
      </c>
      <c r="B380">
        <v>1.90891218751622</v>
      </c>
      <c r="C380">
        <v>6.0534025979624997E-2</v>
      </c>
      <c r="E380" t="str">
        <f>"10496494"</f>
        <v>10496494</v>
      </c>
      <c r="F380" t="str">
        <f t="shared" si="24"/>
        <v>Affy 1.0 ST</v>
      </c>
      <c r="G380" t="str">
        <f>"MGI:1928096"</f>
        <v>MGI:1928096</v>
      </c>
      <c r="H380" t="str">
        <f>"Tspan5"</f>
        <v>Tspan5</v>
      </c>
      <c r="I380" t="str">
        <f>"tetraspanin 5"</f>
        <v>tetraspanin 5</v>
      </c>
      <c r="J380" t="str">
        <f t="shared" si="26"/>
        <v>protein coding gene</v>
      </c>
    </row>
    <row r="381" spans="1:10">
      <c r="A381">
        <v>10410115</v>
      </c>
      <c r="B381">
        <v>1.90340162549573</v>
      </c>
      <c r="C381">
        <v>0.325928039755773</v>
      </c>
      <c r="E381" t="str">
        <f>"10410115"</f>
        <v>10410115</v>
      </c>
      <c r="F381" t="str">
        <f t="shared" si="24"/>
        <v>Affy 1.0 ST</v>
      </c>
      <c r="G381" t="str">
        <f>"MGI:1913379"</f>
        <v>MGI:1913379</v>
      </c>
      <c r="H381" t="str">
        <f>"1110018J18Rik"</f>
        <v>1110018J18Rik</v>
      </c>
      <c r="I381" t="str">
        <f>"RIKEN cDNA 1110018J18 gene"</f>
        <v>RIKEN cDNA 1110018J18 gene</v>
      </c>
      <c r="J381" t="str">
        <f t="shared" si="26"/>
        <v>protein coding gene</v>
      </c>
    </row>
    <row r="382" spans="1:10">
      <c r="A382">
        <v>10392990</v>
      </c>
      <c r="B382">
        <v>1.9015780203096</v>
      </c>
      <c r="C382">
        <v>0.33473437558688701</v>
      </c>
      <c r="E382" t="str">
        <f>"10392990"</f>
        <v>10392990</v>
      </c>
      <c r="F382" t="str">
        <f t="shared" si="24"/>
        <v>Affy 1.0 ST</v>
      </c>
      <c r="G382" t="str">
        <f>"MGI:95805"</f>
        <v>MGI:95805</v>
      </c>
      <c r="H382" t="str">
        <f>"Grb2"</f>
        <v>Grb2</v>
      </c>
      <c r="I382" t="str">
        <f>"growth factor receptor bound protein 2"</f>
        <v>growth factor receptor bound protein 2</v>
      </c>
      <c r="J382" t="str">
        <f t="shared" si="26"/>
        <v>protein coding gene</v>
      </c>
    </row>
    <row r="383" spans="1:10">
      <c r="A383">
        <v>10510552</v>
      </c>
      <c r="B383">
        <v>1.89686370613501</v>
      </c>
      <c r="C383">
        <v>0.48174752255435299</v>
      </c>
      <c r="E383" t="str">
        <f>"10510552"</f>
        <v>10510552</v>
      </c>
      <c r="F383" t="str">
        <f t="shared" si="24"/>
        <v>Affy 1.0 ST</v>
      </c>
      <c r="G383" t="str">
        <f>"MGI:2683486"</f>
        <v>MGI:2683486</v>
      </c>
      <c r="H383" t="str">
        <f>"Rere"</f>
        <v>Rere</v>
      </c>
      <c r="I383" t="str">
        <f>"arginine glutamic acid dipeptide (RE) repeats"</f>
        <v>arginine glutamic acid dipeptide (RE) repeats</v>
      </c>
      <c r="J383" t="str">
        <f t="shared" si="26"/>
        <v>protein coding gene</v>
      </c>
    </row>
    <row r="384" spans="1:10">
      <c r="A384">
        <v>10392318</v>
      </c>
      <c r="B384">
        <v>1.89432500605481</v>
      </c>
      <c r="C384">
        <v>0.31863322043995601</v>
      </c>
      <c r="E384" t="str">
        <f>"10392318"</f>
        <v>10392318</v>
      </c>
      <c r="F384" t="str">
        <f t="shared" si="24"/>
        <v>Affy 1.0 ST</v>
      </c>
      <c r="G384" t="str">
        <f>"MGI:2444008"</f>
        <v>MGI:2444008</v>
      </c>
      <c r="H384" t="str">
        <f>"Bptf"</f>
        <v>Bptf</v>
      </c>
      <c r="I384" t="str">
        <f>"bromodomain PHD finger transcription factor"</f>
        <v>bromodomain PHD finger transcription factor</v>
      </c>
      <c r="J384" t="str">
        <f t="shared" si="26"/>
        <v>protein coding gene</v>
      </c>
    </row>
    <row r="385" spans="1:10">
      <c r="A385">
        <v>10524229</v>
      </c>
      <c r="B385">
        <v>1.89143497078022</v>
      </c>
      <c r="C385">
        <v>0.26079407998642601</v>
      </c>
      <c r="E385" t="str">
        <f>"10524229"</f>
        <v>10524229</v>
      </c>
      <c r="F385" t="str">
        <f>""</f>
        <v/>
      </c>
      <c r="G385" t="str">
        <f>"No associated gene"</f>
        <v>No associated gene</v>
      </c>
    </row>
    <row r="386" spans="1:10">
      <c r="A386">
        <v>10572635</v>
      </c>
      <c r="B386">
        <v>1.8883743936528301</v>
      </c>
      <c r="C386">
        <v>0.43800176973508198</v>
      </c>
      <c r="E386" t="str">
        <f>"10572635"</f>
        <v>10572635</v>
      </c>
      <c r="F386" t="str">
        <f>"Affy 1.0 ST"</f>
        <v>Affy 1.0 ST</v>
      </c>
      <c r="G386" t="str">
        <f>"MGI:1891831"</f>
        <v>MGI:1891831</v>
      </c>
      <c r="H386" t="str">
        <f>"Sfn"</f>
        <v>Sfn</v>
      </c>
      <c r="I386" t="str">
        <f>"stratifin"</f>
        <v>stratifin</v>
      </c>
      <c r="J386" t="str">
        <f>"protein coding gene"</f>
        <v>protein coding gene</v>
      </c>
    </row>
    <row r="387" spans="1:10">
      <c r="A387">
        <v>10338514</v>
      </c>
      <c r="B387">
        <v>1.86276784569815</v>
      </c>
      <c r="C387">
        <v>0.39470159736399002</v>
      </c>
      <c r="E387" t="str">
        <f>"10338514"</f>
        <v>10338514</v>
      </c>
      <c r="F387" t="str">
        <f>""</f>
        <v/>
      </c>
      <c r="G387" t="str">
        <f>"No associated gene"</f>
        <v>No associated gene</v>
      </c>
    </row>
    <row r="388" spans="1:10">
      <c r="A388">
        <v>10600326</v>
      </c>
      <c r="B388">
        <v>1.8625346057123</v>
      </c>
      <c r="C388">
        <v>6.0739266919269203E-2</v>
      </c>
      <c r="E388" t="str">
        <f>"10600326"</f>
        <v>10600326</v>
      </c>
      <c r="F388" t="str">
        <f t="shared" ref="F388:F393" si="27">"Affy 1.0 ST"</f>
        <v>Affy 1.0 ST</v>
      </c>
      <c r="G388" t="str">
        <f>"MGI:1933244"</f>
        <v>MGI:1933244</v>
      </c>
      <c r="H388" t="str">
        <f>"Tktl1"</f>
        <v>Tktl1</v>
      </c>
      <c r="I388" t="str">
        <f>"transketolase-like 1"</f>
        <v>transketolase-like 1</v>
      </c>
      <c r="J388" t="str">
        <f>"protein coding gene"</f>
        <v>protein coding gene</v>
      </c>
    </row>
    <row r="389" spans="1:10">
      <c r="A389">
        <v>10375909</v>
      </c>
      <c r="B389">
        <v>1.8600009592350599</v>
      </c>
      <c r="C389">
        <v>0.152106795225152</v>
      </c>
      <c r="E389" t="str">
        <f>"10375909"</f>
        <v>10375909</v>
      </c>
      <c r="F389" t="str">
        <f t="shared" si="27"/>
        <v>Affy 1.0 ST</v>
      </c>
      <c r="G389" t="str">
        <f>"MGI:2388268"</f>
        <v>MGI:2388268</v>
      </c>
      <c r="H389" t="str">
        <f>"Cdkl3"</f>
        <v>Cdkl3</v>
      </c>
      <c r="I389" t="str">
        <f>"cyclin-dependent kinase-like 3"</f>
        <v>cyclin-dependent kinase-like 3</v>
      </c>
      <c r="J389" t="str">
        <f>"protein coding gene"</f>
        <v>protein coding gene</v>
      </c>
    </row>
    <row r="390" spans="1:10">
      <c r="A390">
        <v>10527559</v>
      </c>
      <c r="B390">
        <v>1.85919088840348</v>
      </c>
      <c r="C390">
        <v>0.43783267622219102</v>
      </c>
      <c r="E390" t="str">
        <f>"10527559"</f>
        <v>10527559</v>
      </c>
      <c r="F390" t="str">
        <f t="shared" si="27"/>
        <v>Affy 1.0 ST</v>
      </c>
      <c r="G390" t="str">
        <f>"MGI:108403"</f>
        <v>MGI:108403</v>
      </c>
      <c r="H390" t="str">
        <f>"Polr1d"</f>
        <v>Polr1d</v>
      </c>
      <c r="I390" t="str">
        <f>"polymerase (RNA) I polypeptide D"</f>
        <v>polymerase (RNA) I polypeptide D</v>
      </c>
      <c r="J390" t="str">
        <f>"protein coding gene"</f>
        <v>protein coding gene</v>
      </c>
    </row>
    <row r="391" spans="1:10">
      <c r="A391">
        <v>10558825</v>
      </c>
      <c r="B391">
        <v>1.8588148957372701</v>
      </c>
      <c r="C391">
        <v>9.00413634186258E-2</v>
      </c>
      <c r="E391" t="str">
        <f>"10558825"</f>
        <v>10558825</v>
      </c>
      <c r="F391" t="str">
        <f t="shared" si="27"/>
        <v>Affy 1.0 ST</v>
      </c>
      <c r="G391" t="str">
        <f>"MGI:1917802"</f>
        <v>MGI:1917802</v>
      </c>
      <c r="H391" t="str">
        <f>"Lrrc56"</f>
        <v>Lrrc56</v>
      </c>
      <c r="I391" t="str">
        <f>"leucine rich repeat containing 56"</f>
        <v>leucine rich repeat containing 56</v>
      </c>
      <c r="J391" t="str">
        <f>"protein coding gene"</f>
        <v>protein coding gene</v>
      </c>
    </row>
    <row r="392" spans="1:10">
      <c r="A392">
        <v>10573675</v>
      </c>
      <c r="B392">
        <v>1.8407010322686199</v>
      </c>
      <c r="C392">
        <v>0.32536859305926302</v>
      </c>
      <c r="E392" t="str">
        <f>"10573675"</f>
        <v>10573675</v>
      </c>
      <c r="F392" t="str">
        <f t="shared" si="27"/>
        <v>Affy 1.0 ST</v>
      </c>
      <c r="G392" t="str">
        <f>"MGI:1914137"</f>
        <v>MGI:1914137</v>
      </c>
      <c r="H392" t="str">
        <f>"Lonp2"</f>
        <v>Lonp2</v>
      </c>
      <c r="I392" t="s">
        <v>32</v>
      </c>
      <c r="J392" t="s">
        <v>2010</v>
      </c>
    </row>
    <row r="393" spans="1:10">
      <c r="A393">
        <v>10528154</v>
      </c>
      <c r="B393">
        <v>1.8397398349343601</v>
      </c>
      <c r="C393">
        <v>6.2920323114429494E-2</v>
      </c>
      <c r="E393" t="str">
        <f>"10528154"</f>
        <v>10528154</v>
      </c>
      <c r="F393" t="str">
        <f t="shared" si="27"/>
        <v>Affy 1.0 ST</v>
      </c>
      <c r="G393" t="str">
        <f>"MGI:3648736"</f>
        <v>MGI:3648736</v>
      </c>
      <c r="H393" t="str">
        <f>"Gm6455"</f>
        <v>Gm6455</v>
      </c>
      <c r="I393" t="str">
        <f>"predicted gene 6455"</f>
        <v>predicted gene 6455</v>
      </c>
      <c r="J393" t="str">
        <f>"pseudogene"</f>
        <v>pseudogene</v>
      </c>
    </row>
    <row r="394" spans="1:10">
      <c r="A394">
        <v>10553859</v>
      </c>
      <c r="B394">
        <v>1.83240296249336</v>
      </c>
      <c r="C394">
        <v>0.117044590903168</v>
      </c>
      <c r="E394" t="str">
        <f>"10553859"</f>
        <v>10553859</v>
      </c>
      <c r="F394" t="str">
        <f>""</f>
        <v/>
      </c>
      <c r="G394" t="str">
        <f>"No associated gene"</f>
        <v>No associated gene</v>
      </c>
    </row>
    <row r="395" spans="1:10">
      <c r="A395">
        <v>10529613</v>
      </c>
      <c r="B395">
        <v>1.8291536143378999</v>
      </c>
      <c r="C395">
        <v>0.16299111441060801</v>
      </c>
      <c r="E395" t="str">
        <f>"10529613"</f>
        <v>10529613</v>
      </c>
      <c r="F395" t="str">
        <f>"Affy 1.0 ST"</f>
        <v>Affy 1.0 ST</v>
      </c>
      <c r="G395" t="str">
        <f>"MGI:1890596"</f>
        <v>MGI:1890596</v>
      </c>
      <c r="H395" t="str">
        <f>"Evc"</f>
        <v>Evc</v>
      </c>
      <c r="I395" t="str">
        <f>"Ellis van Creveld gene homolog (human)"</f>
        <v>Ellis van Creveld gene homolog (human)</v>
      </c>
      <c r="J395" t="str">
        <f>"protein coding gene"</f>
        <v>protein coding gene</v>
      </c>
    </row>
    <row r="396" spans="1:10">
      <c r="A396">
        <v>10341369</v>
      </c>
      <c r="B396">
        <v>1.82552802414221</v>
      </c>
      <c r="C396">
        <v>0.38479917008687797</v>
      </c>
      <c r="E396" t="str">
        <f>"10341369"</f>
        <v>10341369</v>
      </c>
      <c r="F396" t="str">
        <f>""</f>
        <v/>
      </c>
      <c r="G396" t="str">
        <f>"No associated gene"</f>
        <v>No associated gene</v>
      </c>
    </row>
    <row r="397" spans="1:10">
      <c r="A397">
        <v>10489912</v>
      </c>
      <c r="B397">
        <v>1.82386992814685</v>
      </c>
      <c r="C397">
        <v>0.27885795330122798</v>
      </c>
      <c r="E397" t="str">
        <f>"10489912"</f>
        <v>10489912</v>
      </c>
      <c r="F397" t="str">
        <f t="shared" ref="F397:F404" si="28">"Affy 1.0 ST"</f>
        <v>Affy 1.0 ST</v>
      </c>
      <c r="G397" t="str">
        <f>"MGI:2142624"</f>
        <v>MGI:2142624</v>
      </c>
      <c r="H397" t="str">
        <f>"Tmem189"</f>
        <v>Tmem189</v>
      </c>
      <c r="I397" t="str">
        <f>"transmembrane protein 189"</f>
        <v>transmembrane protein 189</v>
      </c>
      <c r="J397" t="str">
        <f>"protein coding gene"</f>
        <v>protein coding gene</v>
      </c>
    </row>
    <row r="398" spans="1:10">
      <c r="A398">
        <v>10455647</v>
      </c>
      <c r="B398">
        <v>1.8228462717141301</v>
      </c>
      <c r="C398">
        <v>0.28478932797141099</v>
      </c>
      <c r="E398" t="str">
        <f>"10455647"</f>
        <v>10455647</v>
      </c>
      <c r="F398" t="str">
        <f t="shared" si="28"/>
        <v>Affy 1.0 ST</v>
      </c>
      <c r="G398" t="str">
        <f>"MGI:2147191"</f>
        <v>MGI:2147191</v>
      </c>
      <c r="H398" t="str">
        <f>"Tnfaip8"</f>
        <v>Tnfaip8</v>
      </c>
      <c r="I398" t="s">
        <v>1162</v>
      </c>
      <c r="J398" t="s">
        <v>2010</v>
      </c>
    </row>
    <row r="399" spans="1:10">
      <c r="A399">
        <v>10569399</v>
      </c>
      <c r="B399">
        <v>1.82236807722378</v>
      </c>
      <c r="C399">
        <v>0.14338921691078901</v>
      </c>
      <c r="E399" t="str">
        <f>"10569399"</f>
        <v>10569399</v>
      </c>
      <c r="F399" t="str">
        <f t="shared" si="28"/>
        <v>Affy 1.0 ST</v>
      </c>
      <c r="G399" t="str">
        <f>"MGI:1861718"</f>
        <v>MGI:1861718</v>
      </c>
      <c r="H399" t="str">
        <f>"Trpm5"</f>
        <v>Trpm5</v>
      </c>
      <c r="I399" t="s">
        <v>118</v>
      </c>
      <c r="J399" t="s">
        <v>2010</v>
      </c>
    </row>
    <row r="400" spans="1:10">
      <c r="A400">
        <v>10437639</v>
      </c>
      <c r="B400">
        <v>1.8222150019210701</v>
      </c>
      <c r="C400">
        <v>9.2286112894217107E-2</v>
      </c>
      <c r="E400" t="str">
        <f>"10437639"</f>
        <v>10437639</v>
      </c>
      <c r="F400" t="str">
        <f t="shared" si="28"/>
        <v>Affy 1.0 ST</v>
      </c>
      <c r="G400" t="str">
        <f>"MGI:1098726"</f>
        <v>MGI:1098726</v>
      </c>
      <c r="H400" t="str">
        <f>"Emp2"</f>
        <v>Emp2</v>
      </c>
      <c r="I400" t="str">
        <f>"epithelial membrane protein 2"</f>
        <v>epithelial membrane protein 2</v>
      </c>
      <c r="J400" t="str">
        <f>"protein coding gene"</f>
        <v>protein coding gene</v>
      </c>
    </row>
    <row r="401" spans="1:10">
      <c r="A401">
        <v>10409330</v>
      </c>
      <c r="B401">
        <v>1.8212660094279201</v>
      </c>
      <c r="C401">
        <v>0.46743911653252801</v>
      </c>
      <c r="E401" t="str">
        <f>"10409330"</f>
        <v>10409330</v>
      </c>
      <c r="F401" t="str">
        <f t="shared" si="28"/>
        <v>Affy 1.0 ST</v>
      </c>
      <c r="G401" t="str">
        <f>"MGI:1921162"</f>
        <v>MGI:1921162</v>
      </c>
      <c r="H401" t="str">
        <f>"4833439L19Rik"</f>
        <v>4833439L19Rik</v>
      </c>
      <c r="I401" t="str">
        <f>"RIKEN cDNA 4833439L19 gene"</f>
        <v>RIKEN cDNA 4833439L19 gene</v>
      </c>
      <c r="J401" t="str">
        <f>"protein coding gene"</f>
        <v>protein coding gene</v>
      </c>
    </row>
    <row r="402" spans="1:10">
      <c r="A402">
        <v>10436402</v>
      </c>
      <c r="B402">
        <v>1.820531766502</v>
      </c>
      <c r="C402">
        <v>0.227093010410503</v>
      </c>
      <c r="E402" t="str">
        <f>"10436402"</f>
        <v>10436402</v>
      </c>
      <c r="F402" t="str">
        <f t="shared" si="28"/>
        <v>Affy 1.0 ST</v>
      </c>
      <c r="G402" t="str">
        <f>"MGI:2447860"</f>
        <v>MGI:2447860</v>
      </c>
      <c r="H402" t="str">
        <f>"Cldnd1"</f>
        <v>Cldnd1</v>
      </c>
      <c r="I402" t="str">
        <f>"claudin domain containing 1"</f>
        <v>claudin domain containing 1</v>
      </c>
      <c r="J402" t="str">
        <f>"protein coding gene"</f>
        <v>protein coding gene</v>
      </c>
    </row>
    <row r="403" spans="1:10">
      <c r="A403">
        <v>10517436</v>
      </c>
      <c r="B403">
        <v>1.8169966868385301</v>
      </c>
      <c r="C403">
        <v>0.384576412490999</v>
      </c>
      <c r="E403" t="str">
        <f>"10517436"</f>
        <v>10517436</v>
      </c>
      <c r="F403" t="str">
        <f t="shared" si="28"/>
        <v>Affy 1.0 ST</v>
      </c>
      <c r="G403" t="str">
        <f>"MGI:1913443"</f>
        <v>MGI:1913443</v>
      </c>
      <c r="H403" t="str">
        <f>"1110049F12Rik"</f>
        <v>1110049F12Rik</v>
      </c>
      <c r="I403" t="str">
        <f>"RIKEN cDNA 1110049F12 gene"</f>
        <v>RIKEN cDNA 1110049F12 gene</v>
      </c>
      <c r="J403" t="str">
        <f>"protein coding gene"</f>
        <v>protein coding gene</v>
      </c>
    </row>
    <row r="404" spans="1:10">
      <c r="A404">
        <v>10352306</v>
      </c>
      <c r="B404">
        <v>1.8169216723694499</v>
      </c>
      <c r="C404">
        <v>0.14810365972229</v>
      </c>
      <c r="E404" t="str">
        <f>"10352306"</f>
        <v>10352306</v>
      </c>
      <c r="F404" t="str">
        <f t="shared" si="28"/>
        <v>Affy 1.0 ST</v>
      </c>
      <c r="G404" t="str">
        <f>"MGI:1277956"</f>
        <v>MGI:1277956</v>
      </c>
      <c r="H404" t="str">
        <f>"Pycr2"</f>
        <v>Pycr2</v>
      </c>
      <c r="I404" t="s">
        <v>496</v>
      </c>
      <c r="J404" t="s">
        <v>2010</v>
      </c>
    </row>
    <row r="405" spans="1:10">
      <c r="A405">
        <v>10565360</v>
      </c>
      <c r="B405">
        <v>1.8157122644147501</v>
      </c>
      <c r="C405">
        <v>4.2508977107487703E-2</v>
      </c>
      <c r="E405" t="str">
        <f>"10565360"</f>
        <v>10565360</v>
      </c>
      <c r="F405" t="str">
        <f>""</f>
        <v/>
      </c>
      <c r="G405" t="str">
        <f>"No associated gene"</f>
        <v>No associated gene</v>
      </c>
    </row>
    <row r="406" spans="1:10">
      <c r="A406">
        <v>10474419</v>
      </c>
      <c r="B406">
        <v>1.81516629084821</v>
      </c>
      <c r="C406">
        <v>0.13229118751971</v>
      </c>
      <c r="E406" t="str">
        <f>"10474419"</f>
        <v>10474419</v>
      </c>
      <c r="F406" t="str">
        <f>"Affy 1.0 ST"</f>
        <v>Affy 1.0 ST</v>
      </c>
      <c r="G406" t="str">
        <f>"MGI:1891468"</f>
        <v>MGI:1891468</v>
      </c>
      <c r="H406" t="str">
        <f>"Lgr4"</f>
        <v>Lgr4</v>
      </c>
      <c r="I406" t="str">
        <f>"leucine-rich repeat-containing G protein-coupled receptor 4"</f>
        <v>leucine-rich repeat-containing G protein-coupled receptor 4</v>
      </c>
      <c r="J406" t="str">
        <f>"protein coding gene"</f>
        <v>protein coding gene</v>
      </c>
    </row>
    <row r="407" spans="1:10">
      <c r="A407">
        <v>10478364</v>
      </c>
      <c r="B407">
        <v>1.8149932940311599</v>
      </c>
      <c r="C407">
        <v>0.13442177643418499</v>
      </c>
      <c r="E407" t="str">
        <f>"10478364"</f>
        <v>10478364</v>
      </c>
      <c r="F407" t="str">
        <f>"Affy 1.0 ST"</f>
        <v>Affy 1.0 ST</v>
      </c>
      <c r="G407" t="str">
        <f>"MGI:3611233"</f>
        <v>MGI:3611233</v>
      </c>
      <c r="H407" t="str">
        <f>"Tox2"</f>
        <v>Tox2</v>
      </c>
      <c r="I407" t="str">
        <f>"TOX high mobility group box family member 2"</f>
        <v>TOX high mobility group box family member 2</v>
      </c>
      <c r="J407" t="str">
        <f>"protein coding gene"</f>
        <v>protein coding gene</v>
      </c>
    </row>
    <row r="408" spans="1:10">
      <c r="A408">
        <v>10352314</v>
      </c>
      <c r="B408">
        <v>1.8103596781432301</v>
      </c>
      <c r="C408">
        <v>9.5822183105998396E-2</v>
      </c>
      <c r="E408" t="str">
        <f>"10352314"</f>
        <v>10352314</v>
      </c>
      <c r="F408" t="str">
        <f>"Affy 1.0 ST"</f>
        <v>Affy 1.0 ST</v>
      </c>
      <c r="G408" t="str">
        <f>"MGI:107405"</f>
        <v>MGI:107405</v>
      </c>
      <c r="H408" t="str">
        <f>"Lefty1"</f>
        <v>Lefty1</v>
      </c>
      <c r="I408" t="str">
        <f>"left right determination factor 1"</f>
        <v>left right determination factor 1</v>
      </c>
      <c r="J408" t="str">
        <f>"protein coding gene"</f>
        <v>protein coding gene</v>
      </c>
    </row>
    <row r="409" spans="1:10">
      <c r="A409">
        <v>10556018</v>
      </c>
      <c r="B409">
        <v>1.80439878198702</v>
      </c>
      <c r="C409">
        <v>0.12998758054432899</v>
      </c>
      <c r="E409" t="str">
        <f>"10556018"</f>
        <v>10556018</v>
      </c>
      <c r="F409" t="str">
        <f>""</f>
        <v/>
      </c>
      <c r="G409" t="str">
        <f>"No associated gene"</f>
        <v>No associated gene</v>
      </c>
    </row>
    <row r="410" spans="1:10">
      <c r="A410">
        <v>10505276</v>
      </c>
      <c r="B410">
        <v>1.8043786737727401</v>
      </c>
      <c r="C410">
        <v>2.2021917887647E-2</v>
      </c>
      <c r="E410" t="str">
        <f>"10505276"</f>
        <v>10505276</v>
      </c>
      <c r="F410" t="str">
        <f t="shared" ref="F410:F416" si="29">"Affy 1.0 ST"</f>
        <v>Affy 1.0 ST</v>
      </c>
      <c r="G410" t="str">
        <f>"MGI:1333843"</f>
        <v>MGI:1333843</v>
      </c>
      <c r="H410" t="str">
        <f>"Slc31a1"</f>
        <v>Slc31a1</v>
      </c>
      <c r="I410" t="s">
        <v>1767</v>
      </c>
      <c r="J410" t="s">
        <v>2010</v>
      </c>
    </row>
    <row r="411" spans="1:10">
      <c r="A411">
        <v>10403842</v>
      </c>
      <c r="B411">
        <v>1.80320140147913</v>
      </c>
      <c r="C411">
        <v>0.11350983229190199</v>
      </c>
      <c r="E411" t="str">
        <f>"10403842"</f>
        <v>10403842</v>
      </c>
      <c r="F411" t="str">
        <f t="shared" si="29"/>
        <v>Affy 1.0 ST</v>
      </c>
      <c r="G411" t="str">
        <f>"MGI:2153044"</f>
        <v>MGI:2153044</v>
      </c>
      <c r="H411" t="str">
        <f>"Elmo1"</f>
        <v>Elmo1</v>
      </c>
      <c r="I411" t="s">
        <v>113</v>
      </c>
      <c r="J411" t="s">
        <v>2010</v>
      </c>
    </row>
    <row r="412" spans="1:10">
      <c r="A412">
        <v>10388492</v>
      </c>
      <c r="B412">
        <v>1.79012399794871</v>
      </c>
      <c r="C412">
        <v>0.17192583680819501</v>
      </c>
      <c r="E412" t="str">
        <f>"10388492"</f>
        <v>10388492</v>
      </c>
      <c r="F412" t="str">
        <f t="shared" si="29"/>
        <v>Affy 1.0 ST</v>
      </c>
      <c r="G412" t="str">
        <f>"MGI:1915549"</f>
        <v>MGI:1915549</v>
      </c>
      <c r="H412" t="str">
        <f>"Vps53"</f>
        <v>Vps53</v>
      </c>
      <c r="I412" t="str">
        <f>"vacuolar protein sorting 53 (yeast)"</f>
        <v>vacuolar protein sorting 53 (yeast)</v>
      </c>
      <c r="J412" t="str">
        <f>"protein coding gene"</f>
        <v>protein coding gene</v>
      </c>
    </row>
    <row r="413" spans="1:10">
      <c r="A413">
        <v>10403066</v>
      </c>
      <c r="B413">
        <v>1.7888970338057399</v>
      </c>
      <c r="C413">
        <v>0.402065769354294</v>
      </c>
      <c r="E413" t="str">
        <f>"10403066"</f>
        <v>10403066</v>
      </c>
      <c r="F413" t="str">
        <f t="shared" si="29"/>
        <v>Affy 1.0 ST</v>
      </c>
      <c r="G413" t="str">
        <f>"MGI:4439634"</f>
        <v>MGI:4439634</v>
      </c>
      <c r="H413" t="str">
        <f>"Gm16710"</f>
        <v>Gm16710</v>
      </c>
      <c r="I413" t="s">
        <v>529</v>
      </c>
      <c r="J413" t="s">
        <v>1916</v>
      </c>
    </row>
    <row r="414" spans="1:10">
      <c r="A414">
        <v>10474526</v>
      </c>
      <c r="B414">
        <v>1.78878364073767</v>
      </c>
      <c r="C414">
        <v>0.17485711936890899</v>
      </c>
      <c r="E414" t="str">
        <f>"10474526"</f>
        <v>10474526</v>
      </c>
      <c r="F414" t="str">
        <f t="shared" si="29"/>
        <v>Affy 1.0 ST</v>
      </c>
      <c r="G414" t="str">
        <f>"MGI:2138993"</f>
        <v>MGI:2138993</v>
      </c>
      <c r="H414" t="str">
        <f>"Lpcat4"</f>
        <v>Lpcat4</v>
      </c>
      <c r="I414" t="str">
        <f>"lysophosphatidylcholine acyltransferase 4"</f>
        <v>lysophosphatidylcholine acyltransferase 4</v>
      </c>
      <c r="J414" t="str">
        <f>"protein coding gene"</f>
        <v>protein coding gene</v>
      </c>
    </row>
    <row r="415" spans="1:10">
      <c r="A415">
        <v>10426955</v>
      </c>
      <c r="B415">
        <v>1.78206396878072</v>
      </c>
      <c r="C415">
        <v>0.170891945154417</v>
      </c>
      <c r="E415" t="str">
        <f>"10426955"</f>
        <v>10426955</v>
      </c>
      <c r="F415" t="str">
        <f t="shared" si="29"/>
        <v>Affy 1.0 ST</v>
      </c>
      <c r="G415" t="str">
        <f>"MGI:103169"</f>
        <v>MGI:103169</v>
      </c>
      <c r="H415" t="str">
        <f>"Scn8a"</f>
        <v>Scn8a</v>
      </c>
      <c r="I415" t="s">
        <v>114</v>
      </c>
      <c r="J415" t="s">
        <v>2010</v>
      </c>
    </row>
    <row r="416" spans="1:10">
      <c r="A416">
        <v>10345529</v>
      </c>
      <c r="B416">
        <v>1.7747778192144601</v>
      </c>
      <c r="C416">
        <v>8.7475027688131798E-2</v>
      </c>
      <c r="E416" t="str">
        <f>"10345529"</f>
        <v>10345529</v>
      </c>
      <c r="F416" t="str">
        <f t="shared" si="29"/>
        <v>Affy 1.0 ST</v>
      </c>
      <c r="G416" t="str">
        <f>"MGI:1918103"</f>
        <v>MGI:1918103</v>
      </c>
      <c r="H416" t="str">
        <f>"Vwa3b"</f>
        <v>Vwa3b</v>
      </c>
      <c r="I416" t="str">
        <f>"von Willebrand factor A domain containing 3B"</f>
        <v>von Willebrand factor A domain containing 3B</v>
      </c>
      <c r="J416" t="str">
        <f>"protein coding gene"</f>
        <v>protein coding gene</v>
      </c>
    </row>
    <row r="417" spans="1:10">
      <c r="A417">
        <v>10340125</v>
      </c>
      <c r="B417">
        <v>1.76414968371579</v>
      </c>
      <c r="C417">
        <v>0.19620324638296099</v>
      </c>
      <c r="E417" t="str">
        <f>"10340125"</f>
        <v>10340125</v>
      </c>
      <c r="F417" t="str">
        <f>""</f>
        <v/>
      </c>
      <c r="G417" t="str">
        <f>"No associated gene"</f>
        <v>No associated gene</v>
      </c>
    </row>
    <row r="418" spans="1:10">
      <c r="A418">
        <v>10433691</v>
      </c>
      <c r="B418">
        <v>1.76313816393537</v>
      </c>
      <c r="C418">
        <v>0.32308805636408799</v>
      </c>
      <c r="E418" t="str">
        <f>"10433691"</f>
        <v>10433691</v>
      </c>
      <c r="F418" t="str">
        <f t="shared" ref="F418:F437" si="30">"Affy 1.0 ST"</f>
        <v>Affy 1.0 ST</v>
      </c>
      <c r="G418" t="str">
        <f>"MGI:108471"</f>
        <v>MGI:108471</v>
      </c>
      <c r="H418" t="str">
        <f>"Ntan1"</f>
        <v>Ntan1</v>
      </c>
      <c r="I418" t="str">
        <f>"N-terminal Asn amidase"</f>
        <v>N-terminal Asn amidase</v>
      </c>
      <c r="J418" t="str">
        <f>"protein coding gene"</f>
        <v>protein coding gene</v>
      </c>
    </row>
    <row r="419" spans="1:10">
      <c r="A419">
        <v>10403258</v>
      </c>
      <c r="B419">
        <v>1.75852814768623</v>
      </c>
      <c r="C419">
        <v>0.109551426129316</v>
      </c>
      <c r="E419" t="str">
        <f>"10403258"</f>
        <v>10403258</v>
      </c>
      <c r="F419" t="str">
        <f t="shared" si="30"/>
        <v>Affy 1.0 ST</v>
      </c>
      <c r="G419" t="str">
        <f>"MGI:99845"</f>
        <v>MGI:99845</v>
      </c>
      <c r="H419" t="str">
        <f>"Gdi2"</f>
        <v>Gdi2</v>
      </c>
      <c r="I419" t="str">
        <f>"guanosine diphosphate (GDP) dissociation inhibitor 2"</f>
        <v>guanosine diphosphate (GDP) dissociation inhibitor 2</v>
      </c>
      <c r="J419" t="str">
        <f>"protein coding gene"</f>
        <v>protein coding gene</v>
      </c>
    </row>
    <row r="420" spans="1:10">
      <c r="A420">
        <v>10393754</v>
      </c>
      <c r="B420">
        <v>1.7463711875092101</v>
      </c>
      <c r="C420">
        <v>0.155965757921953</v>
      </c>
      <c r="E420" t="str">
        <f>"10393754"</f>
        <v>10393754</v>
      </c>
      <c r="F420" t="str">
        <f t="shared" si="30"/>
        <v>Affy 1.0 ST</v>
      </c>
      <c r="G420" t="str">
        <f>"MGI:87906"</f>
        <v>MGI:87906</v>
      </c>
      <c r="H420" t="str">
        <f>"Actg1"</f>
        <v>Actg1</v>
      </c>
      <c r="I420" t="s">
        <v>115</v>
      </c>
      <c r="J420" t="s">
        <v>2010</v>
      </c>
    </row>
    <row r="421" spans="1:10">
      <c r="A421">
        <v>10583228</v>
      </c>
      <c r="B421">
        <v>1.74528744738502</v>
      </c>
      <c r="C421">
        <v>0.35824026006232002</v>
      </c>
      <c r="E421" t="str">
        <f>"10583228"</f>
        <v>10583228</v>
      </c>
      <c r="F421" t="str">
        <f t="shared" si="30"/>
        <v>Affy 1.0 ST</v>
      </c>
      <c r="G421" t="str">
        <f>"MGI:1920076"</f>
        <v>MGI:1920076</v>
      </c>
      <c r="H421" t="str">
        <f>"Fam76b"</f>
        <v>Fam76b</v>
      </c>
      <c r="I421" t="s">
        <v>567</v>
      </c>
      <c r="J421" t="s">
        <v>2010</v>
      </c>
    </row>
    <row r="422" spans="1:10">
      <c r="A422">
        <v>10439845</v>
      </c>
      <c r="B422">
        <v>1.7419111840761401</v>
      </c>
      <c r="C422">
        <v>8.1680218774910801E-2</v>
      </c>
      <c r="E422" t="str">
        <f>"10439845"</f>
        <v>10439845</v>
      </c>
      <c r="F422" t="str">
        <f t="shared" si="30"/>
        <v>Affy 1.0 ST</v>
      </c>
      <c r="G422" t="str">
        <f>"MGI:3647871"</f>
        <v>MGI:3647871</v>
      </c>
      <c r="H422" t="str">
        <f>"Gm5486"</f>
        <v>Gm5486</v>
      </c>
      <c r="I422" t="str">
        <f>"predicted gene 5486"</f>
        <v>predicted gene 5486</v>
      </c>
      <c r="J422" t="str">
        <f>"protein coding gene"</f>
        <v>protein coding gene</v>
      </c>
    </row>
    <row r="423" spans="1:10">
      <c r="A423">
        <v>10413229</v>
      </c>
      <c r="B423">
        <v>1.7344235584175201</v>
      </c>
      <c r="C423">
        <v>0.30914248848292097</v>
      </c>
      <c r="E423" t="str">
        <f>"10413229"</f>
        <v>10413229</v>
      </c>
      <c r="F423" t="str">
        <f t="shared" si="30"/>
        <v>Affy 1.0 ST</v>
      </c>
      <c r="G423" t="str">
        <f>"MGI:108481"</f>
        <v>MGI:108481</v>
      </c>
      <c r="H423" t="str">
        <f>"Anxa11"</f>
        <v>Anxa11</v>
      </c>
      <c r="I423" t="str">
        <f>"annexin A11"</f>
        <v>annexin A11</v>
      </c>
      <c r="J423" t="str">
        <f>"protein coding gene"</f>
        <v>protein coding gene</v>
      </c>
    </row>
    <row r="424" spans="1:10">
      <c r="A424">
        <v>10400795</v>
      </c>
      <c r="B424">
        <v>1.7310230558937401</v>
      </c>
      <c r="C424">
        <v>0.11873666035442999</v>
      </c>
      <c r="E424" t="str">
        <f>"10400795"</f>
        <v>10400795</v>
      </c>
      <c r="F424" t="str">
        <f t="shared" si="30"/>
        <v>Affy 1.0 ST</v>
      </c>
      <c r="G424" t="str">
        <f>"MGI:1927144"</f>
        <v>MGI:1927144</v>
      </c>
      <c r="H424" t="str">
        <f>"Sav1"</f>
        <v>Sav1</v>
      </c>
      <c r="I424" t="str">
        <f>"salvador homolog 1 (Drosophila)"</f>
        <v>salvador homolog 1 (Drosophila)</v>
      </c>
      <c r="J424" t="str">
        <f>"protein coding gene"</f>
        <v>protein coding gene</v>
      </c>
    </row>
    <row r="425" spans="1:10">
      <c r="A425">
        <v>10457606</v>
      </c>
      <c r="B425">
        <v>1.7307267319234501</v>
      </c>
      <c r="C425">
        <v>0.26484218726158698</v>
      </c>
      <c r="E425" t="str">
        <f>"10457606"</f>
        <v>10457606</v>
      </c>
      <c r="F425" t="str">
        <f t="shared" si="30"/>
        <v>Affy 1.0 ST</v>
      </c>
      <c r="G425" t="str">
        <f>"MGI:1918269"</f>
        <v>MGI:1918269</v>
      </c>
      <c r="H425" t="str">
        <f>"Kctd1"</f>
        <v>Kctd1</v>
      </c>
      <c r="I425" t="str">
        <f>"potassium channel tetramerisation domain containing 1"</f>
        <v>potassium channel tetramerisation domain containing 1</v>
      </c>
      <c r="J425" t="str">
        <f>"protein coding gene"</f>
        <v>protein coding gene</v>
      </c>
    </row>
    <row r="426" spans="1:10">
      <c r="A426">
        <v>10509838</v>
      </c>
      <c r="B426">
        <v>1.7261158366798399</v>
      </c>
      <c r="C426">
        <v>0.23381034587234001</v>
      </c>
      <c r="E426" t="str">
        <f>"10509838"</f>
        <v>10509838</v>
      </c>
      <c r="F426" t="str">
        <f t="shared" si="30"/>
        <v>Affy 1.0 ST</v>
      </c>
      <c r="G426" t="str">
        <f>"MGI:1338892"</f>
        <v>MGI:1338892</v>
      </c>
      <c r="H426" t="str">
        <f>"Padi2"</f>
        <v>Padi2</v>
      </c>
      <c r="I426" t="s">
        <v>116</v>
      </c>
      <c r="J426" t="s">
        <v>2010</v>
      </c>
    </row>
    <row r="427" spans="1:10">
      <c r="A427">
        <v>10420155</v>
      </c>
      <c r="B427">
        <v>1.72420252984982</v>
      </c>
      <c r="C427">
        <v>0.17624848401947801</v>
      </c>
      <c r="E427" t="str">
        <f>"10420155"</f>
        <v>10420155</v>
      </c>
      <c r="F427" t="str">
        <f t="shared" si="30"/>
        <v>Affy 1.0 ST</v>
      </c>
      <c r="G427" t="str">
        <f>"MGI:1196314"</f>
        <v>MGI:1196314</v>
      </c>
      <c r="H427" t="str">
        <f>"Dhrs1"</f>
        <v>Dhrs1</v>
      </c>
      <c r="I427" t="str">
        <f>"dehydrogenase/reductase (SDR family) member 1"</f>
        <v>dehydrogenase/reductase (SDR family) member 1</v>
      </c>
      <c r="J427" t="str">
        <f>"protein coding gene"</f>
        <v>protein coding gene</v>
      </c>
    </row>
    <row r="428" spans="1:10">
      <c r="A428">
        <v>10560608</v>
      </c>
      <c r="B428">
        <v>1.72333592857197</v>
      </c>
      <c r="C428">
        <v>0.160522505939305</v>
      </c>
      <c r="E428" t="str">
        <f>"10560608"</f>
        <v>10560608</v>
      </c>
      <c r="F428" t="str">
        <f t="shared" si="30"/>
        <v>Affy 1.0 ST</v>
      </c>
      <c r="G428" t="str">
        <f>"MGI:88054"</f>
        <v>MGI:88054</v>
      </c>
      <c r="H428" t="str">
        <f>"Apoc2"</f>
        <v>Apoc2</v>
      </c>
      <c r="I428" t="str">
        <f>"apolipoprotein C-II"</f>
        <v>apolipoprotein C-II</v>
      </c>
      <c r="J428" t="str">
        <f>"protein coding gene"</f>
        <v>protein coding gene</v>
      </c>
    </row>
    <row r="429" spans="1:10">
      <c r="A429">
        <v>10547227</v>
      </c>
      <c r="B429">
        <v>1.71613144393998</v>
      </c>
      <c r="C429">
        <v>8.8463607059614202E-2</v>
      </c>
      <c r="E429" t="str">
        <f>"10547227"</f>
        <v>10547227</v>
      </c>
      <c r="F429" t="str">
        <f t="shared" si="30"/>
        <v>Affy 1.0 ST</v>
      </c>
      <c r="G429" t="str">
        <f>"MGI:97902"</f>
        <v>MGI:97902</v>
      </c>
      <c r="H429" t="str">
        <f>"Ret"</f>
        <v>Ret</v>
      </c>
      <c r="I429" t="str">
        <f>"ret proto-oncogene"</f>
        <v>ret proto-oncogene</v>
      </c>
      <c r="J429" t="str">
        <f>"protein coding gene"</f>
        <v>protein coding gene</v>
      </c>
    </row>
    <row r="430" spans="1:10">
      <c r="A430">
        <v>10378754</v>
      </c>
      <c r="B430">
        <v>1.7153106126947399</v>
      </c>
      <c r="C430">
        <v>0.14119693064375799</v>
      </c>
      <c r="E430" t="str">
        <f>"10378754"</f>
        <v>10378754</v>
      </c>
      <c r="F430" t="str">
        <f t="shared" si="30"/>
        <v>Affy 1.0 ST</v>
      </c>
      <c r="G430" t="str">
        <f>"MGI:2151840"</f>
        <v>MGI:2151840</v>
      </c>
      <c r="H430" t="str">
        <f>"Fam57a"</f>
        <v>Fam57a</v>
      </c>
      <c r="I430" t="s">
        <v>46</v>
      </c>
      <c r="J430" t="s">
        <v>2010</v>
      </c>
    </row>
    <row r="431" spans="1:10">
      <c r="A431">
        <v>10503281</v>
      </c>
      <c r="B431">
        <v>1.71366084093166</v>
      </c>
      <c r="C431">
        <v>0.144637053602924</v>
      </c>
      <c r="E431" t="str">
        <f>"10503281"</f>
        <v>10503281</v>
      </c>
      <c r="F431" t="str">
        <f t="shared" si="30"/>
        <v>Affy 1.0 ST</v>
      </c>
      <c r="G431" t="str">
        <f>"MGI:3649777"</f>
        <v>MGI:3649777</v>
      </c>
      <c r="H431" t="str">
        <f>"Gm11821"</f>
        <v>Gm11821</v>
      </c>
      <c r="I431" t="str">
        <f>"predicted gene 11821"</f>
        <v>predicted gene 11821</v>
      </c>
      <c r="J431" t="str">
        <f>"pseudogene"</f>
        <v>pseudogene</v>
      </c>
    </row>
    <row r="432" spans="1:10">
      <c r="A432">
        <v>10542791</v>
      </c>
      <c r="B432">
        <v>1.70932853993832</v>
      </c>
      <c r="C432">
        <v>0.16127992779077099</v>
      </c>
      <c r="E432" t="str">
        <f>"10542791"</f>
        <v>10542791</v>
      </c>
      <c r="F432" t="str">
        <f t="shared" si="30"/>
        <v>Affy 1.0 ST</v>
      </c>
      <c r="G432" t="str">
        <f>"MGI:1914783"</f>
        <v>MGI:1914783</v>
      </c>
      <c r="H432" t="str">
        <f>"Ppfibp1"</f>
        <v>Ppfibp1</v>
      </c>
      <c r="I432" t="s">
        <v>47</v>
      </c>
      <c r="J432" t="s">
        <v>2010</v>
      </c>
    </row>
    <row r="433" spans="1:10">
      <c r="A433">
        <v>10398885</v>
      </c>
      <c r="B433">
        <v>1.689872046396</v>
      </c>
      <c r="C433">
        <v>0.22361091942158001</v>
      </c>
      <c r="E433" t="str">
        <f>"10398885"</f>
        <v>10398885</v>
      </c>
      <c r="F433" t="str">
        <f t="shared" si="30"/>
        <v>Affy 1.0 ST</v>
      </c>
      <c r="G433" t="str">
        <f>"MGI:2145043"</f>
        <v>MGI:2145043</v>
      </c>
      <c r="H433" t="str">
        <f>"AW555464"</f>
        <v>AW555464</v>
      </c>
      <c r="I433" t="str">
        <f>"expressed sequence AW555464"</f>
        <v>expressed sequence AW555464</v>
      </c>
      <c r="J433" t="str">
        <f>"protein coding gene"</f>
        <v>protein coding gene</v>
      </c>
    </row>
    <row r="434" spans="1:10">
      <c r="A434">
        <v>10401673</v>
      </c>
      <c r="B434">
        <v>1.6894830903393301</v>
      </c>
      <c r="C434">
        <v>0.13633459544513399</v>
      </c>
      <c r="E434" t="str">
        <f>"10401673"</f>
        <v>10401673</v>
      </c>
      <c r="F434" t="str">
        <f t="shared" si="30"/>
        <v>Affy 1.0 ST</v>
      </c>
      <c r="G434" t="str">
        <f>"MGI:98727"</f>
        <v>MGI:98727</v>
      </c>
      <c r="H434" t="str">
        <f>"Tgfb3"</f>
        <v>Tgfb3</v>
      </c>
      <c r="I434" t="s">
        <v>48</v>
      </c>
      <c r="J434" t="s">
        <v>2010</v>
      </c>
    </row>
    <row r="435" spans="1:10">
      <c r="A435">
        <v>10411690</v>
      </c>
      <c r="B435">
        <v>1.6883520140933701</v>
      </c>
      <c r="C435">
        <v>0.14943453653188599</v>
      </c>
      <c r="E435" t="str">
        <f>"10411690"</f>
        <v>10411690</v>
      </c>
      <c r="F435" t="str">
        <f t="shared" si="30"/>
        <v>Affy 1.0 ST</v>
      </c>
      <c r="G435" t="str">
        <f>"MGI:1333807"</f>
        <v>MGI:1333807</v>
      </c>
      <c r="H435" t="str">
        <f>"Rad17"</f>
        <v>Rad17</v>
      </c>
      <c r="I435" t="str">
        <f>"RAD17 homolog (S. pombe)"</f>
        <v>RAD17 homolog (S. pombe)</v>
      </c>
      <c r="J435" t="str">
        <f>"protein coding gene"</f>
        <v>protein coding gene</v>
      </c>
    </row>
    <row r="436" spans="1:10">
      <c r="A436">
        <v>10526133</v>
      </c>
      <c r="B436">
        <v>1.6868916999416901</v>
      </c>
      <c r="C436">
        <v>0.24068621263716899</v>
      </c>
      <c r="E436" t="str">
        <f>"10526133"</f>
        <v>10526133</v>
      </c>
      <c r="F436" t="str">
        <f t="shared" si="30"/>
        <v>Affy 1.0 ST</v>
      </c>
      <c r="G436" t="str">
        <f>"MGI:1929459"</f>
        <v>MGI:1929459</v>
      </c>
      <c r="H436" t="str">
        <f>"Rabgef1"</f>
        <v>Rabgef1</v>
      </c>
      <c r="I436" t="str">
        <f>"RAB guanine nucleotide exchange factor (GEF) 1"</f>
        <v>RAB guanine nucleotide exchange factor (GEF) 1</v>
      </c>
      <c r="J436" t="str">
        <f>"protein coding gene"</f>
        <v>protein coding gene</v>
      </c>
    </row>
    <row r="437" spans="1:10">
      <c r="A437">
        <v>10444320</v>
      </c>
      <c r="B437">
        <v>1.6863083441797699</v>
      </c>
      <c r="C437">
        <v>0.133975590337232</v>
      </c>
      <c r="E437" t="str">
        <f>"10444320"</f>
        <v>10444320</v>
      </c>
      <c r="F437" t="str">
        <f t="shared" si="30"/>
        <v>Affy 1.0 ST</v>
      </c>
      <c r="G437" t="str">
        <f>"MGI:1932027"</f>
        <v>MGI:1932027</v>
      </c>
      <c r="H437" t="str">
        <f>"Btnl3"</f>
        <v>Btnl3</v>
      </c>
      <c r="I437" t="str">
        <f>"butyrophilin-like 3"</f>
        <v>butyrophilin-like 3</v>
      </c>
      <c r="J437" t="str">
        <f>"protein coding gene"</f>
        <v>protein coding gene</v>
      </c>
    </row>
    <row r="438" spans="1:10">
      <c r="A438">
        <v>10338402</v>
      </c>
      <c r="B438">
        <v>1.6836908705586799</v>
      </c>
      <c r="C438">
        <v>6.9241331574095594E-2</v>
      </c>
      <c r="E438" t="str">
        <f>"10338402"</f>
        <v>10338402</v>
      </c>
      <c r="F438" t="str">
        <f>""</f>
        <v/>
      </c>
      <c r="G438" t="str">
        <f>"No associated gene"</f>
        <v>No associated gene</v>
      </c>
    </row>
    <row r="439" spans="1:10">
      <c r="A439">
        <v>10442211</v>
      </c>
      <c r="B439">
        <v>1.6829745194897801</v>
      </c>
      <c r="C439">
        <v>0.14125493634493799</v>
      </c>
      <c r="E439" t="str">
        <f>"10442211"</f>
        <v>10442211</v>
      </c>
      <c r="F439" t="str">
        <f t="shared" ref="F439:F449" si="31">"Affy 1.0 ST"</f>
        <v>Affy 1.0 ST</v>
      </c>
      <c r="G439" t="str">
        <f>"MGI:99200"</f>
        <v>MGI:99200</v>
      </c>
      <c r="H439" t="str">
        <f>"Zfp53"</f>
        <v>Zfp53</v>
      </c>
      <c r="I439" t="str">
        <f>"zinc finger protein 53"</f>
        <v>zinc finger protein 53</v>
      </c>
      <c r="J439" t="str">
        <f>"protein coding gene"</f>
        <v>protein coding gene</v>
      </c>
    </row>
    <row r="440" spans="1:10">
      <c r="A440">
        <v>10403934</v>
      </c>
      <c r="B440">
        <v>1.6756795965098601</v>
      </c>
      <c r="C440">
        <v>0.103032767068548</v>
      </c>
      <c r="E440" t="str">
        <f>"10403934"</f>
        <v>10403934</v>
      </c>
      <c r="F440" t="str">
        <f t="shared" si="31"/>
        <v>Affy 1.0 ST</v>
      </c>
      <c r="G440" t="str">
        <f>"MGI:1916296"</f>
        <v>MGI:1916296</v>
      </c>
      <c r="H440" t="str">
        <f>"Isca1"</f>
        <v>Isca1</v>
      </c>
      <c r="I440" t="str">
        <f>"iron-sulfur cluster assembly 1 homolog (S. cerevisiae)"</f>
        <v>iron-sulfur cluster assembly 1 homolog (S. cerevisiae)</v>
      </c>
      <c r="J440" t="str">
        <f>"protein coding gene"</f>
        <v>protein coding gene</v>
      </c>
    </row>
    <row r="441" spans="1:10">
      <c r="A441">
        <v>10460312</v>
      </c>
      <c r="B441">
        <v>1.6718103669259701</v>
      </c>
      <c r="C441">
        <v>0.123099295484923</v>
      </c>
      <c r="E441" t="str">
        <f>"10460312"</f>
        <v>10460312</v>
      </c>
      <c r="F441" t="str">
        <f t="shared" si="31"/>
        <v>Affy 1.0 ST</v>
      </c>
      <c r="G441" t="str">
        <f>"MGI:1098779"</f>
        <v>MGI:1098779</v>
      </c>
      <c r="H441" t="str">
        <f>"Cdk2ap2"</f>
        <v>Cdk2ap2</v>
      </c>
      <c r="I441" t="str">
        <f>"CDK2-associated protein 2"</f>
        <v>CDK2-associated protein 2</v>
      </c>
      <c r="J441" t="str">
        <f>"protein coding gene"</f>
        <v>protein coding gene</v>
      </c>
    </row>
    <row r="442" spans="1:10">
      <c r="A442">
        <v>10481474</v>
      </c>
      <c r="B442">
        <v>1.66957644566584</v>
      </c>
      <c r="C442">
        <v>0.16494515182764</v>
      </c>
      <c r="E442" t="str">
        <f>"10481474"</f>
        <v>10481474</v>
      </c>
      <c r="F442" t="str">
        <f t="shared" si="31"/>
        <v>Affy 1.0 ST</v>
      </c>
      <c r="G442" t="str">
        <f>"MGI:109501"</f>
        <v>MGI:109501</v>
      </c>
      <c r="H442" t="str">
        <f>"Crat"</f>
        <v>Crat</v>
      </c>
      <c r="I442" t="str">
        <f>"carnitine acetyltransferase"</f>
        <v>carnitine acetyltransferase</v>
      </c>
      <c r="J442" t="str">
        <f>"protein coding gene"</f>
        <v>protein coding gene</v>
      </c>
    </row>
    <row r="443" spans="1:10">
      <c r="A443">
        <v>10509049</v>
      </c>
      <c r="B443">
        <v>1.6659255034000799</v>
      </c>
      <c r="C443">
        <v>7.6395700610518397E-2</v>
      </c>
      <c r="E443" t="str">
        <f>"10509049"</f>
        <v>10509049</v>
      </c>
      <c r="F443" t="str">
        <f t="shared" si="31"/>
        <v>Affy 1.0 ST</v>
      </c>
      <c r="G443" t="str">
        <f>"MGI:1913597"</f>
        <v>MGI:1913597</v>
      </c>
      <c r="H443" t="str">
        <f>"1700029M20Rik"</f>
        <v>1700029M20Rik</v>
      </c>
      <c r="I443" t="str">
        <f>"RIKEN cDNA 1700029M20 gene"</f>
        <v>RIKEN cDNA 1700029M20 gene</v>
      </c>
      <c r="J443" t="str">
        <f>"unclassified gene"</f>
        <v>unclassified gene</v>
      </c>
    </row>
    <row r="444" spans="1:10">
      <c r="A444">
        <v>10493548</v>
      </c>
      <c r="B444">
        <v>1.66297563657016</v>
      </c>
      <c r="C444">
        <v>0.122607025034071</v>
      </c>
      <c r="E444" t="str">
        <f>"10493548"</f>
        <v>10493548</v>
      </c>
      <c r="F444" t="str">
        <f t="shared" si="31"/>
        <v>Affy 1.0 ST</v>
      </c>
      <c r="G444" t="str">
        <f>"MGI:1915853"</f>
        <v>MGI:1915853</v>
      </c>
      <c r="H444" t="str">
        <f>"Pmvk"</f>
        <v>Pmvk</v>
      </c>
      <c r="I444" t="str">
        <f>"phosphomevalonate kinase"</f>
        <v>phosphomevalonate kinase</v>
      </c>
      <c r="J444" t="str">
        <f t="shared" ref="J444:J449" si="32">"protein coding gene"</f>
        <v>protein coding gene</v>
      </c>
    </row>
    <row r="445" spans="1:10">
      <c r="A445">
        <v>10468275</v>
      </c>
      <c r="B445">
        <v>1.6624546255608399</v>
      </c>
      <c r="C445">
        <v>0.22651473062785901</v>
      </c>
      <c r="E445" t="str">
        <f>"10468275"</f>
        <v>10468275</v>
      </c>
      <c r="F445" t="str">
        <f t="shared" si="31"/>
        <v>Affy 1.0 ST</v>
      </c>
      <c r="G445" t="str">
        <f>"MGI:1918291"</f>
        <v>MGI:1918291</v>
      </c>
      <c r="H445" t="str">
        <f>"Pcgf6"</f>
        <v>Pcgf6</v>
      </c>
      <c r="I445" t="str">
        <f>"polycomb group ring finger 6"</f>
        <v>polycomb group ring finger 6</v>
      </c>
      <c r="J445" t="str">
        <f t="shared" si="32"/>
        <v>protein coding gene</v>
      </c>
    </row>
    <row r="446" spans="1:10">
      <c r="A446">
        <v>10546586</v>
      </c>
      <c r="B446">
        <v>1.6620389889565601</v>
      </c>
      <c r="C446">
        <v>0.168841047712838</v>
      </c>
      <c r="E446" t="str">
        <f>"10546586"</f>
        <v>10546586</v>
      </c>
      <c r="F446" t="str">
        <f t="shared" si="31"/>
        <v>Affy 1.0 ST</v>
      </c>
      <c r="G446" t="str">
        <f>"MGI:2684999"</f>
        <v>MGI:2684999</v>
      </c>
      <c r="H446" t="str">
        <f>"Tmf1"</f>
        <v>Tmf1</v>
      </c>
      <c r="I446" t="str">
        <f>"TATA element modulatory factor 1"</f>
        <v>TATA element modulatory factor 1</v>
      </c>
      <c r="J446" t="str">
        <f t="shared" si="32"/>
        <v>protein coding gene</v>
      </c>
    </row>
    <row r="447" spans="1:10">
      <c r="A447">
        <v>10572290</v>
      </c>
      <c r="B447">
        <v>1.6595161782844401</v>
      </c>
      <c r="C447">
        <v>6.3329105844984204E-2</v>
      </c>
      <c r="E447" t="str">
        <f>"10572290"</f>
        <v>10572290</v>
      </c>
      <c r="F447" t="str">
        <f t="shared" si="31"/>
        <v>Affy 1.0 ST</v>
      </c>
      <c r="G447" t="str">
        <f>"MGI:1922942"</f>
        <v>MGI:1922942</v>
      </c>
      <c r="H447" t="str">
        <f>"Nr2c2ap"</f>
        <v>Nr2c2ap</v>
      </c>
      <c r="I447" t="str">
        <f>"nuclear receptor 2C2-associated protein"</f>
        <v>nuclear receptor 2C2-associated protein</v>
      </c>
      <c r="J447" t="str">
        <f t="shared" si="32"/>
        <v>protein coding gene</v>
      </c>
    </row>
    <row r="448" spans="1:10">
      <c r="A448">
        <v>10353533</v>
      </c>
      <c r="B448">
        <v>1.64451071223607</v>
      </c>
      <c r="C448">
        <v>0.16894937444136099</v>
      </c>
      <c r="E448" t="str">
        <f>"10353533"</f>
        <v>10353533</v>
      </c>
      <c r="F448" t="str">
        <f t="shared" si="31"/>
        <v>Affy 1.0 ST</v>
      </c>
      <c r="G448" t="str">
        <f>"MGI:2138261"</f>
        <v>MGI:2138261</v>
      </c>
      <c r="H448" t="str">
        <f>"Smap1"</f>
        <v>Smap1</v>
      </c>
      <c r="I448" t="str">
        <f>"stromal membrane-associated protein 1"</f>
        <v>stromal membrane-associated protein 1</v>
      </c>
      <c r="J448" t="str">
        <f t="shared" si="32"/>
        <v>protein coding gene</v>
      </c>
    </row>
    <row r="449" spans="1:10">
      <c r="A449">
        <v>10606355</v>
      </c>
      <c r="B449">
        <v>1.6401007429732199</v>
      </c>
      <c r="C449">
        <v>4.6740771113502701E-2</v>
      </c>
      <c r="E449" t="str">
        <f>"10606355"</f>
        <v>10606355</v>
      </c>
      <c r="F449" t="str">
        <f t="shared" si="31"/>
        <v>Affy 1.0 ST</v>
      </c>
      <c r="G449" t="str">
        <f>"MGI:1926218"</f>
        <v>MGI:1926218</v>
      </c>
      <c r="H449" t="str">
        <f>"Cysltr1"</f>
        <v>Cysltr1</v>
      </c>
      <c r="I449" t="str">
        <f>"cysteinyl leukotriene receptor 1"</f>
        <v>cysteinyl leukotriene receptor 1</v>
      </c>
      <c r="J449" t="str">
        <f t="shared" si="32"/>
        <v>protein coding gene</v>
      </c>
    </row>
    <row r="450" spans="1:10">
      <c r="A450">
        <v>10342986</v>
      </c>
      <c r="B450">
        <v>1.6362324219033799</v>
      </c>
      <c r="C450">
        <v>0.12140292732626901</v>
      </c>
      <c r="E450" t="str">
        <f>"10342986"</f>
        <v>10342986</v>
      </c>
      <c r="F450" t="str">
        <f>""</f>
        <v/>
      </c>
      <c r="G450" t="str">
        <f>"No associated gene"</f>
        <v>No associated gene</v>
      </c>
    </row>
    <row r="451" spans="1:10">
      <c r="A451">
        <v>10341742</v>
      </c>
      <c r="B451">
        <v>1.6358865928408099</v>
      </c>
      <c r="C451">
        <v>0.12640582235106901</v>
      </c>
      <c r="E451" t="str">
        <f>"10341742"</f>
        <v>10341742</v>
      </c>
      <c r="F451" t="str">
        <f>""</f>
        <v/>
      </c>
      <c r="G451" t="str">
        <f>"No associated gene"</f>
        <v>No associated gene</v>
      </c>
    </row>
    <row r="452" spans="1:10">
      <c r="A452">
        <v>10467041</v>
      </c>
      <c r="B452">
        <v>1.61254602430674</v>
      </c>
      <c r="C452">
        <v>4.3709289417682401E-2</v>
      </c>
      <c r="E452" t="str">
        <f>"10467041"</f>
        <v>10467041</v>
      </c>
      <c r="F452" t="str">
        <f t="shared" ref="F452:F458" si="33">"Affy 1.0 ST"</f>
        <v>Affy 1.0 ST</v>
      </c>
      <c r="G452" t="str">
        <f>"MGI:1859310"</f>
        <v>MGI:1859310</v>
      </c>
      <c r="H452" t="str">
        <f>"Asah2"</f>
        <v>Asah2</v>
      </c>
      <c r="I452" t="str">
        <f>"N-acylsphingosine amidohydrolase 2"</f>
        <v>N-acylsphingosine amidohydrolase 2</v>
      </c>
      <c r="J452" t="str">
        <f>"protein coding gene"</f>
        <v>protein coding gene</v>
      </c>
    </row>
    <row r="453" spans="1:10">
      <c r="A453">
        <v>10468584</v>
      </c>
      <c r="B453">
        <v>1.6006395539645599</v>
      </c>
      <c r="C453">
        <v>8.3596069693244707E-2</v>
      </c>
      <c r="E453" t="str">
        <f>"10468584"</f>
        <v>10468584</v>
      </c>
      <c r="F453" t="str">
        <f t="shared" si="33"/>
        <v>Affy 1.0 ST</v>
      </c>
      <c r="G453" t="str">
        <f>"MGI:1914230"</f>
        <v>MGI:1914230</v>
      </c>
      <c r="H453" t="str">
        <f>"Zdhhc6"</f>
        <v>Zdhhc6</v>
      </c>
      <c r="I453" t="s">
        <v>49</v>
      </c>
      <c r="J453" t="s">
        <v>2010</v>
      </c>
    </row>
    <row r="454" spans="1:10">
      <c r="A454">
        <v>10397752</v>
      </c>
      <c r="B454">
        <v>1.5932781948529</v>
      </c>
      <c r="C454">
        <v>0.15183133397933299</v>
      </c>
      <c r="E454" t="str">
        <f>"10397752"</f>
        <v>10397752</v>
      </c>
      <c r="F454" t="str">
        <f t="shared" si="33"/>
        <v>Affy 1.0 ST</v>
      </c>
      <c r="G454" t="str">
        <f>"MGI:88251"</f>
        <v>MGI:88251</v>
      </c>
      <c r="H454" t="str">
        <f>"Calm1"</f>
        <v>Calm1</v>
      </c>
      <c r="I454" t="str">
        <f>"calmodulin 1"</f>
        <v>calmodulin 1</v>
      </c>
      <c r="J454" t="str">
        <f>"protein coding gene"</f>
        <v>protein coding gene</v>
      </c>
    </row>
    <row r="455" spans="1:10">
      <c r="A455">
        <v>10486112</v>
      </c>
      <c r="B455">
        <v>1.58954262739466</v>
      </c>
      <c r="C455">
        <v>9.5239151917327999E-2</v>
      </c>
      <c r="E455" t="str">
        <f>"10486112"</f>
        <v>10486112</v>
      </c>
      <c r="F455" t="str">
        <f t="shared" si="33"/>
        <v>Affy 1.0 ST</v>
      </c>
      <c r="G455" t="str">
        <f>"MGI:2176433"</f>
        <v>MGI:2176433</v>
      </c>
      <c r="H455" t="str">
        <f>"Bmf"</f>
        <v>Bmf</v>
      </c>
      <c r="I455" t="str">
        <f>"BCL2 modifying factor"</f>
        <v>BCL2 modifying factor</v>
      </c>
      <c r="J455" t="str">
        <f>"protein coding gene"</f>
        <v>protein coding gene</v>
      </c>
    </row>
    <row r="456" spans="1:10">
      <c r="A456">
        <v>10418096</v>
      </c>
      <c r="B456">
        <v>1.5654950152161999</v>
      </c>
      <c r="C456">
        <v>5.8917851628880601E-2</v>
      </c>
      <c r="E456" t="str">
        <f>"10418096"</f>
        <v>10418096</v>
      </c>
      <c r="F456" t="str">
        <f t="shared" si="33"/>
        <v>Affy 1.0 ST</v>
      </c>
      <c r="G456" t="str">
        <f>"MGI:1918478"</f>
        <v>MGI:1918478</v>
      </c>
      <c r="H456" t="str">
        <f>"Dlg5"</f>
        <v>Dlg5</v>
      </c>
      <c r="I456" t="s">
        <v>129</v>
      </c>
      <c r="J456" t="s">
        <v>2010</v>
      </c>
    </row>
    <row r="457" spans="1:10">
      <c r="A457">
        <v>10447065</v>
      </c>
      <c r="B457">
        <v>1.5624978128976099</v>
      </c>
      <c r="C457">
        <v>1.14869307031913E-2</v>
      </c>
      <c r="E457" t="str">
        <f>"10447065"</f>
        <v>10447065</v>
      </c>
      <c r="F457" t="str">
        <f t="shared" si="33"/>
        <v>Affy 1.0 ST</v>
      </c>
      <c r="G457" t="str">
        <f>"MGI:2147043"</f>
        <v>MGI:2147043</v>
      </c>
      <c r="H457" t="str">
        <f>"Fam82a1"</f>
        <v>Fam82a1</v>
      </c>
      <c r="I457" t="s">
        <v>61</v>
      </c>
      <c r="J457" t="s">
        <v>2010</v>
      </c>
    </row>
    <row r="458" spans="1:10">
      <c r="A458">
        <v>10361669</v>
      </c>
      <c r="B458">
        <v>1.5359119516356099</v>
      </c>
      <c r="C458">
        <v>2.69724108451053E-2</v>
      </c>
      <c r="E458" t="str">
        <f>"10361669"</f>
        <v>10361669</v>
      </c>
      <c r="F458" t="str">
        <f t="shared" si="33"/>
        <v>Affy 1.0 ST</v>
      </c>
      <c r="G458" t="str">
        <f>"MGI:1344353"</f>
        <v>MGI:1344353</v>
      </c>
      <c r="H458" t="str">
        <f>"Katna1"</f>
        <v>Katna1</v>
      </c>
      <c r="I458" t="str">
        <f>"katanin p60 (ATPase-containing) subunit A1"</f>
        <v>katanin p60 (ATPase-containing) subunit A1</v>
      </c>
      <c r="J458" t="str">
        <f>"protein coding gene"</f>
        <v>protein coding gene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GC-B cell original comparision</vt:lpstr>
      <vt:lpstr>actMatureT&amp;NK</vt:lpstr>
      <vt:lpstr>actImmT&amp;B</vt:lpstr>
      <vt:lpstr>GC-Bcell vs actMatureT&amp;NK,MZ</vt:lpstr>
      <vt:lpstr>GC-Bcell vs actImmatureT&amp;B, MZ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Meehan</dc:creator>
  <cp:lastModifiedBy>Terry Meehan</cp:lastModifiedBy>
  <dcterms:created xsi:type="dcterms:W3CDTF">2011-02-04T13:38:27Z</dcterms:created>
  <dcterms:modified xsi:type="dcterms:W3CDTF">2011-11-03T18:02:29Z</dcterms:modified>
</cp:coreProperties>
</file>