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icardopramanasuranta/Documents/Projects-CMUSV/18980-GRA/pysheetgrader/sample_excel_files/"/>
    </mc:Choice>
  </mc:AlternateContent>
  <xr:revisionPtr revIDLastSave="0" documentId="13_ncr:1_{67DD8430-3295-974E-B1AB-7264A8A60046}" xr6:coauthVersionLast="45" xr6:coauthVersionMax="45" xr10:uidLastSave="{00000000-0000-0000-0000-000000000000}"/>
  <bookViews>
    <workbookView xWindow="0" yWindow="480" windowWidth="28800" windowHeight="15740" activeTab="6"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5" l="1"/>
  <c r="R6" i="5" l="1"/>
  <c r="Q6" i="5"/>
  <c r="Q5" i="5"/>
  <c r="P6" i="5"/>
  <c r="P5" i="5"/>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29" i="7"/>
  <c r="G29" i="7" s="1"/>
  <c r="E29" i="7"/>
  <c r="C29" i="7"/>
  <c r="D29" i="7" s="1"/>
  <c r="B29" i="7"/>
  <c r="F28" i="7"/>
  <c r="G28" i="7" s="1"/>
  <c r="E28" i="7"/>
  <c r="C28" i="7"/>
  <c r="D28" i="7" s="1"/>
  <c r="B28" i="7"/>
  <c r="F27" i="7"/>
  <c r="G27" i="7" s="1"/>
  <c r="E27" i="7"/>
  <c r="D27" i="7"/>
  <c r="C27" i="7"/>
  <c r="B27" i="7"/>
  <c r="F26" i="7"/>
  <c r="G26" i="7" s="1"/>
  <c r="E26" i="7"/>
  <c r="C26" i="7"/>
  <c r="D26" i="7" s="1"/>
  <c r="B26" i="7"/>
  <c r="F25" i="7"/>
  <c r="G25" i="7" s="1"/>
  <c r="E25" i="7"/>
  <c r="C25" i="7"/>
  <c r="D25" i="7" s="1"/>
  <c r="B25" i="7"/>
  <c r="F24" i="7"/>
  <c r="G24" i="7" s="1"/>
  <c r="E24" i="7"/>
  <c r="C24" i="7"/>
  <c r="D24" i="7" s="1"/>
  <c r="B24" i="7"/>
  <c r="F23" i="7"/>
  <c r="G23" i="7" s="1"/>
  <c r="E23" i="7"/>
  <c r="C23" i="7"/>
  <c r="D23" i="7" s="1"/>
  <c r="B23" i="7"/>
  <c r="F22" i="7"/>
  <c r="G22" i="7" s="1"/>
  <c r="E22" i="7"/>
  <c r="C22" i="7"/>
  <c r="D22" i="7" s="1"/>
  <c r="B22" i="7"/>
  <c r="F21" i="7"/>
  <c r="G21" i="7" s="1"/>
  <c r="E21" i="7"/>
  <c r="C21" i="7"/>
  <c r="D21" i="7" s="1"/>
  <c r="B21" i="7"/>
  <c r="F20" i="7"/>
  <c r="G20" i="7" s="1"/>
  <c r="E20" i="7"/>
  <c r="D20" i="7"/>
  <c r="C20" i="7"/>
  <c r="B20" i="7"/>
  <c r="F19" i="7"/>
  <c r="G19" i="7" s="1"/>
  <c r="E19" i="7"/>
  <c r="C19" i="7"/>
  <c r="D19" i="7" s="1"/>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C12" i="7"/>
  <c r="D12" i="7" s="1"/>
  <c r="B12" i="7"/>
  <c r="F11" i="7"/>
  <c r="G11" i="7" s="1"/>
  <c r="E11" i="7"/>
  <c r="D11" i="7"/>
  <c r="C11" i="7"/>
  <c r="B11" i="7"/>
  <c r="F10" i="7"/>
  <c r="G10" i="7" s="1"/>
  <c r="E10" i="7"/>
  <c r="C10" i="7"/>
  <c r="D10" i="7" s="1"/>
  <c r="B10" i="7"/>
  <c r="F9" i="7"/>
  <c r="G9" i="7" s="1"/>
  <c r="E9" i="7"/>
  <c r="C9" i="7"/>
  <c r="D9" i="7" s="1"/>
  <c r="B9" i="7"/>
  <c r="F8" i="7"/>
  <c r="G8" i="7" s="1"/>
  <c r="E8" i="7"/>
  <c r="C8" i="7"/>
  <c r="D8" i="7" s="1"/>
  <c r="B8" i="7"/>
  <c r="F7" i="7"/>
  <c r="G7" i="7" s="1"/>
  <c r="E7" i="7"/>
  <c r="C7" i="7"/>
  <c r="D7" i="7" s="1"/>
  <c r="B7" i="7"/>
  <c r="F6" i="7"/>
  <c r="G6" i="7" s="1"/>
  <c r="E6" i="7"/>
  <c r="C6" i="7"/>
  <c r="B6" i="7"/>
  <c r="F5" i="7"/>
  <c r="G5" i="7" s="1"/>
  <c r="E5" i="7"/>
  <c r="C5" i="7"/>
  <c r="D5" i="7" s="1"/>
  <c r="B5" i="7"/>
  <c r="F4" i="7"/>
  <c r="E4" i="7"/>
  <c r="C4" i="7"/>
  <c r="D4" i="7" s="1"/>
  <c r="B4" i="7"/>
  <c r="D9" i="6"/>
  <c r="D8" i="6"/>
  <c r="B8" i="6"/>
  <c r="D5" i="6"/>
  <c r="D56" i="5"/>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B26" i="5"/>
  <c r="A26" i="5"/>
  <c r="I25"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D12" i="5"/>
  <c r="B12" i="5"/>
  <c r="A12" i="5"/>
  <c r="D11" i="5"/>
  <c r="B11" i="5"/>
  <c r="A11" i="5"/>
  <c r="D10" i="5"/>
  <c r="B10" i="5"/>
  <c r="A10" i="5"/>
  <c r="D9" i="5"/>
  <c r="B9" i="5"/>
  <c r="A9" i="5"/>
  <c r="D8" i="5"/>
  <c r="B8" i="5"/>
  <c r="A8" i="5"/>
  <c r="D7" i="5"/>
  <c r="B7" i="5"/>
  <c r="A7" i="5"/>
  <c r="D6" i="5"/>
  <c r="B6" i="5"/>
  <c r="A6" i="5"/>
  <c r="D5" i="5"/>
  <c r="B5" i="5"/>
  <c r="A5" i="5"/>
  <c r="D4" i="5"/>
  <c r="B4" i="5"/>
  <c r="A4" i="5"/>
  <c r="T1" i="3"/>
  <c r="B50" i="2"/>
  <c r="D49" i="2"/>
  <c r="B49"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D50" i="2" s="1"/>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E7" i="2"/>
  <c r="D7" i="2"/>
  <c r="C7" i="2"/>
  <c r="B7" i="2"/>
  <c r="G6" i="2"/>
  <c r="F6" i="2"/>
  <c r="E6" i="2"/>
  <c r="D6" i="2"/>
  <c r="C6" i="2"/>
  <c r="D46" i="2" s="1"/>
  <c r="B6" i="2"/>
  <c r="B46" i="2" s="1"/>
  <c r="G5" i="2"/>
  <c r="F5" i="2"/>
  <c r="E5" i="2"/>
  <c r="D5" i="2"/>
  <c r="C5" i="2"/>
  <c r="B5" i="2"/>
  <c r="G4" i="2"/>
  <c r="G39" i="2" s="1"/>
  <c r="F4" i="2"/>
  <c r="E4" i="2"/>
  <c r="D4" i="2"/>
  <c r="C4" i="2"/>
  <c r="B4" i="2"/>
  <c r="B59" i="1"/>
  <c r="B58" i="1"/>
  <c r="C2" i="1"/>
  <c r="B60" i="1" l="1"/>
  <c r="C24" i="5"/>
  <c r="E26" i="5"/>
  <c r="C21" i="5"/>
  <c r="C12" i="5"/>
  <c r="C31" i="7"/>
  <c r="C18" i="5"/>
  <c r="F35" i="7"/>
  <c r="F31" i="2"/>
  <c r="E56" i="5"/>
  <c r="F31" i="7"/>
  <c r="E40" i="5"/>
  <c r="E16" i="5"/>
  <c r="E9" i="5"/>
  <c r="B29" i="6"/>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D40" i="2" l="1"/>
  <c r="G36" i="7"/>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P5
</t>
        </r>
        <r>
          <rPr>
            <sz val="10"/>
            <color rgb="FF000000"/>
            <rFont val="Arial"/>
          </rPr>
          <t xml:space="preserve"> - Q5
</t>
        </r>
        <r>
          <rPr>
            <sz val="10"/>
            <color rgb="FF000000"/>
            <rFont val="Arial"/>
          </rPr>
          <t xml:space="preserve"> - R5
</t>
        </r>
        <r>
          <rPr>
            <sz val="10"/>
            <color rgb="FF000000"/>
            <rFont val="Arial"/>
          </rPr>
          <t xml:space="preserve">unit_tests:
</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Arial"/>
          </rPr>
          <t xml:space="preserve">alt_cells:
</t>
        </r>
        <r>
          <rPr>
            <sz val="10"/>
            <color rgb="FF000000"/>
            <rFont val="Arial"/>
          </rPr>
          <t xml:space="preserve"> - P6
</t>
        </r>
        <r>
          <rPr>
            <sz val="10"/>
            <color rgb="FF000000"/>
            <rFont val="Arial"/>
          </rPr>
          <t xml:space="preserve"> - Q6
</t>
        </r>
        <r>
          <rPr>
            <sz val="10"/>
            <color rgb="FF000000"/>
            <rFont val="Arial"/>
          </rPr>
          <t xml:space="preserve"> - R6</t>
        </r>
        <r>
          <rPr>
            <sz val="10"/>
            <color rgb="FF000000"/>
            <rFont val="Tahoma"/>
            <family val="2"/>
          </rPr>
          <t xml:space="preserve">
</t>
        </r>
        <r>
          <rPr>
            <sz val="10"/>
            <color rgb="FF000000"/>
            <rFont val="Tahoma"/>
            <family val="2"/>
          </rPr>
          <t>unit_tests:</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unit_tests:
</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<sst xmlns="http://schemas.openxmlformats.org/spreadsheetml/2006/main" count="355" uniqueCount="174">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</sst>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0" fillId="0" borderId="0" xfId="0" applyFont="1" applyAlignment="1"/>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4" borderId="0" xfId="0" applyFont="1" applyFill="1" applyAlignment="1">
      <alignment horizontal="center"/>
    </xf>
    <xf numFmtId="0" fontId="0" fillId="0" borderId="0" xfId="0" applyFont="1" applyAlignment="1"/>
    <xf numFmtId="0" fontId="3" fillId="5" borderId="0" xfId="0" applyFont="1" applyFill="1" applyAlignment="1">
      <alignment horizontal="center"/>
    </xf>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6" borderId="3" xfId="0" applyFont="1" applyFill="1" applyBorder="1" applyAlignment="1"/>
    <xf numFmtId="0" fontId="3" fillId="0" borderId="0" xfId="0" applyFont="1" applyAlignment="1">
      <alignment horizontal="center"/>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3" xfId="0" applyFont="1" applyFill="1" applyBorder="1" applyAlignment="1">
      <alignment horizontal="right"/>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166" fontId="3" fillId="6" borderId="3" xfId="0" applyNumberFormat="1" applyFont="1" applyFill="1" applyBorder="1"/>
    <xf numFmtId="0" fontId="3" fillId="0" borderId="0" xfId="0" applyFont="1" applyAlignment="1">
      <alignment vertical="center" wrapText="1"/>
    </xf>
    <xf numFmtId="0" fontId="3" fillId="0" borderId="11" xfId="0" applyFont="1" applyBorder="1" applyAlignment="1">
      <alignment horizontal="center"/>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99" t="s">
        <v>8</v>
      </c>
      <c r="C2" s="100"/>
      <c r="D2" s="100"/>
      <c r="E2" s="101" t="s">
        <v>9</v>
      </c>
      <c r="F2" s="100"/>
      <c r="G2" s="100"/>
      <c r="I2" s="127" t="s">
        <v>135</v>
      </c>
      <c r="J2" s="98"/>
    </row>
    <row r="3" spans="1:10" ht="13">
      <c r="A3" s="5"/>
      <c r="B3" s="16" t="s">
        <v>4</v>
      </c>
      <c r="C3" s="16" t="s">
        <v>6</v>
      </c>
      <c r="D3" s="16" t="s">
        <v>136</v>
      </c>
      <c r="E3" s="16" t="s">
        <v>4</v>
      </c>
      <c r="F3" s="16" t="s">
        <v>6</v>
      </c>
      <c r="G3" s="16" t="s">
        <v>136</v>
      </c>
      <c r="I3" s="128"/>
      <c r="J3" s="109"/>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0"/>
      <c r="J4" s="111"/>
    </row>
    <row r="5" spans="1:10" ht="13">
      <c r="B5" s="55">
        <f>'Raw Data'!A6</f>
        <v>2</v>
      </c>
      <c r="C5" s="55">
        <f>'Raw Data'!C6</f>
        <v>56.8</v>
      </c>
      <c r="D5" s="87">
        <f t="shared" si="0"/>
        <v>4.0395363257271057</v>
      </c>
      <c r="E5" s="55">
        <f>'Raw Data'!A32</f>
        <v>28</v>
      </c>
      <c r="F5" s="55">
        <f>'Raw Data'!C32</f>
        <v>63.04</v>
      </c>
      <c r="G5" s="87">
        <f t="shared" si="1"/>
        <v>4.1437694455496237</v>
      </c>
      <c r="I5" s="110"/>
      <c r="J5" s="111"/>
    </row>
    <row r="6" spans="1:10" ht="13">
      <c r="B6" s="55">
        <f>'Raw Data'!A7</f>
        <v>3</v>
      </c>
      <c r="C6" s="55">
        <f>'Raw Data'!C7</f>
        <v>96.64</v>
      </c>
      <c r="D6" s="87">
        <f t="shared" si="0"/>
        <v>4.5709927341865049</v>
      </c>
      <c r="E6" s="55">
        <f>'Raw Data'!A33</f>
        <v>29</v>
      </c>
      <c r="F6" s="55">
        <f>'Raw Data'!C33</f>
        <v>63.03</v>
      </c>
      <c r="G6" s="87">
        <f t="shared" si="1"/>
        <v>4.1436108035250188</v>
      </c>
      <c r="I6" s="110"/>
      <c r="J6" s="111"/>
    </row>
    <row r="7" spans="1:10" ht="13">
      <c r="B7" s="55">
        <f>'Raw Data'!A8</f>
        <v>4</v>
      </c>
      <c r="C7" s="55">
        <f>'Raw Data'!C8</f>
        <v>71.27</v>
      </c>
      <c r="D7" s="87">
        <f t="shared" si="0"/>
        <v>4.2664754815137789</v>
      </c>
      <c r="E7" s="55">
        <f>'Raw Data'!A34</f>
        <v>30</v>
      </c>
      <c r="F7" s="55">
        <f>'Raw Data'!C34</f>
        <v>84.66</v>
      </c>
      <c r="G7" s="87">
        <f t="shared" si="1"/>
        <v>4.438643235092778</v>
      </c>
      <c r="I7" s="110"/>
      <c r="J7" s="111"/>
    </row>
    <row r="8" spans="1:10" ht="13">
      <c r="B8" s="55">
        <f>'Raw Data'!A9</f>
        <v>5</v>
      </c>
      <c r="C8" s="55">
        <f>'Raw Data'!C9</f>
        <v>100</v>
      </c>
      <c r="D8" s="87">
        <f t="shared" si="0"/>
        <v>4.6051701859880918</v>
      </c>
      <c r="E8" s="55">
        <f>'Raw Data'!A35</f>
        <v>31</v>
      </c>
      <c r="F8" s="55">
        <f>'Raw Data'!C35</f>
        <v>51.54</v>
      </c>
      <c r="G8" s="87">
        <f t="shared" si="1"/>
        <v>3.942358205224219</v>
      </c>
      <c r="I8" s="110"/>
      <c r="J8" s="111"/>
    </row>
    <row r="9" spans="1:10" ht="13">
      <c r="B9" s="55">
        <f>'Raw Data'!A10</f>
        <v>6</v>
      </c>
      <c r="C9" s="55">
        <f>'Raw Data'!C10</f>
        <v>70.430000000000007</v>
      </c>
      <c r="D9" s="87">
        <f t="shared" si="0"/>
        <v>4.2546193087573192</v>
      </c>
      <c r="E9" s="55">
        <f>'Raw Data'!A36</f>
        <v>32</v>
      </c>
      <c r="F9" s="55">
        <f>'Raw Data'!C36</f>
        <v>46.93</v>
      </c>
      <c r="G9" s="87">
        <f t="shared" si="1"/>
        <v>3.8486571298063263</v>
      </c>
      <c r="I9" s="110"/>
      <c r="J9" s="111"/>
    </row>
    <row r="10" spans="1:10" ht="13">
      <c r="B10" s="55">
        <f>'Raw Data'!A11</f>
        <v>7</v>
      </c>
      <c r="C10" s="55">
        <f>'Raw Data'!C11</f>
        <v>51.29</v>
      </c>
      <c r="D10" s="87">
        <f t="shared" si="0"/>
        <v>3.9374958014011772</v>
      </c>
      <c r="E10" s="55">
        <f>'Raw Data'!A37</f>
        <v>33</v>
      </c>
      <c r="F10" s="55">
        <f>'Raw Data'!C37</f>
        <v>51.55</v>
      </c>
      <c r="G10" s="87">
        <f t="shared" si="1"/>
        <v>3.9425522104629689</v>
      </c>
      <c r="I10" s="110"/>
      <c r="J10" s="111"/>
    </row>
    <row r="11" spans="1:10" ht="13">
      <c r="B11" s="55">
        <f>'Raw Data'!A12</f>
        <v>8</v>
      </c>
      <c r="C11" s="55">
        <f>'Raw Data'!C12</f>
        <v>44.89</v>
      </c>
      <c r="D11" s="87">
        <f t="shared" si="0"/>
        <v>3.804215052793841</v>
      </c>
      <c r="E11" s="55">
        <f>'Raw Data'!A38</f>
        <v>34</v>
      </c>
      <c r="F11" s="55">
        <f>'Raw Data'!C38</f>
        <v>51.95</v>
      </c>
      <c r="G11" s="87">
        <f t="shared" si="1"/>
        <v>3.9502817175452365</v>
      </c>
      <c r="I11" s="110"/>
      <c r="J11" s="111"/>
    </row>
    <row r="12" spans="1:10" ht="13">
      <c r="B12" s="55">
        <f>'Raw Data'!A13</f>
        <v>9</v>
      </c>
      <c r="C12" s="55">
        <f>'Raw Data'!C13</f>
        <v>38.69</v>
      </c>
      <c r="D12" s="87">
        <f t="shared" si="0"/>
        <v>3.6555811687124216</v>
      </c>
      <c r="E12" s="55">
        <f>'Raw Data'!A39</f>
        <v>35</v>
      </c>
      <c r="F12" s="55">
        <f>'Raw Data'!C39</f>
        <v>60.66</v>
      </c>
      <c r="G12" s="87">
        <f t="shared" si="1"/>
        <v>4.1052845022604352</v>
      </c>
      <c r="I12" s="110"/>
      <c r="J12" s="111"/>
    </row>
    <row r="13" spans="1:10" ht="13">
      <c r="B13" s="55">
        <f>'Raw Data'!A14</f>
        <v>10</v>
      </c>
      <c r="C13" s="55">
        <f>'Raw Data'!C14</f>
        <v>73.81</v>
      </c>
      <c r="D13" s="87">
        <f t="shared" si="0"/>
        <v>4.3014942237819609</v>
      </c>
      <c r="E13" s="55">
        <f>'Raw Data'!A40</f>
        <v>36</v>
      </c>
      <c r="F13" s="55">
        <f>'Raw Data'!C40</f>
        <v>54.23</v>
      </c>
      <c r="G13" s="87">
        <f t="shared" si="1"/>
        <v>3.9932342608529692</v>
      </c>
      <c r="I13" s="110"/>
      <c r="J13" s="111"/>
    </row>
    <row r="14" spans="1:10" ht="13">
      <c r="B14" s="55">
        <f>'Raw Data'!A15</f>
        <v>11</v>
      </c>
      <c r="C14" s="55">
        <f>'Raw Data'!C15</f>
        <v>96.7</v>
      </c>
      <c r="D14" s="87">
        <f t="shared" si="0"/>
        <v>4.5716134024592483</v>
      </c>
      <c r="E14" s="55">
        <f>'Raw Data'!A41</f>
        <v>37</v>
      </c>
      <c r="F14" s="55">
        <f>'Raw Data'!C41</f>
        <v>76.180000000000007</v>
      </c>
      <c r="G14" s="87">
        <f t="shared" si="1"/>
        <v>4.3330989610504584</v>
      </c>
      <c r="I14" s="110"/>
      <c r="J14" s="111"/>
    </row>
    <row r="15" spans="1:10" ht="13">
      <c r="B15" s="55">
        <f>'Raw Data'!A16</f>
        <v>12</v>
      </c>
      <c r="C15" s="55">
        <f>'Raw Data'!C16</f>
        <v>66.680000000000007</v>
      </c>
      <c r="D15" s="87">
        <f t="shared" si="0"/>
        <v>4.1999050578825932</v>
      </c>
      <c r="E15" s="55">
        <f>'Raw Data'!A42</f>
        <v>38</v>
      </c>
      <c r="F15" s="55">
        <f>'Raw Data'!C42</f>
        <v>80.64</v>
      </c>
      <c r="G15" s="87">
        <f t="shared" si="1"/>
        <v>4.3899948043230586</v>
      </c>
      <c r="I15" s="110"/>
      <c r="J15" s="111"/>
    </row>
    <row r="16" spans="1:10" ht="13">
      <c r="B16" s="55">
        <f>'Raw Data'!A17</f>
        <v>13</v>
      </c>
      <c r="C16" s="55">
        <f>'Raw Data'!C17</f>
        <v>50.93</v>
      </c>
      <c r="D16" s="87">
        <f t="shared" si="0"/>
        <v>3.9304521408965134</v>
      </c>
      <c r="E16" s="55">
        <f>'Raw Data'!A43</f>
        <v>39</v>
      </c>
      <c r="F16" s="55">
        <f>'Raw Data'!C43</f>
        <v>93.06</v>
      </c>
      <c r="G16" s="87">
        <f t="shared" si="1"/>
        <v>4.5332444464165027</v>
      </c>
      <c r="I16" s="110"/>
      <c r="J16" s="111"/>
    </row>
    <row r="17" spans="1:12" ht="13">
      <c r="B17" s="55">
        <f>'Raw Data'!A18</f>
        <v>14</v>
      </c>
      <c r="C17" s="55">
        <f>'Raw Data'!C18</f>
        <v>51.86</v>
      </c>
      <c r="D17" s="87">
        <f t="shared" si="0"/>
        <v>3.9485477801105184</v>
      </c>
      <c r="E17" s="55">
        <f>'Raw Data'!A44</f>
        <v>40</v>
      </c>
      <c r="F17" s="55">
        <f>'Raw Data'!C44</f>
        <v>7.68</v>
      </c>
      <c r="G17" s="87">
        <f t="shared" si="1"/>
        <v>2.0386195471595809</v>
      </c>
      <c r="I17" s="110"/>
      <c r="J17" s="111"/>
    </row>
    <row r="18" spans="1:12" ht="13">
      <c r="B18" s="55">
        <f>'Raw Data'!A19</f>
        <v>15</v>
      </c>
      <c r="C18" s="55">
        <f>'Raw Data'!C19</f>
        <v>41.92</v>
      </c>
      <c r="D18" s="87">
        <f t="shared" si="0"/>
        <v>3.7357630400127868</v>
      </c>
      <c r="E18" s="55">
        <f>'Raw Data'!A45</f>
        <v>41</v>
      </c>
      <c r="F18" s="55">
        <f>'Raw Data'!C45</f>
        <v>26.77</v>
      </c>
      <c r="G18" s="87">
        <f t="shared" si="1"/>
        <v>3.2872818575322613</v>
      </c>
      <c r="I18" s="110"/>
      <c r="J18" s="111"/>
    </row>
    <row r="19" spans="1:12" ht="13">
      <c r="B19" s="55">
        <f>'Raw Data'!A20</f>
        <v>16</v>
      </c>
      <c r="C19" s="55">
        <f>'Raw Data'!C20</f>
        <v>14.85</v>
      </c>
      <c r="D19" s="87">
        <f t="shared" si="0"/>
        <v>2.6979998652487085</v>
      </c>
      <c r="E19" s="55">
        <f>'Raw Data'!A46</f>
        <v>42</v>
      </c>
      <c r="F19" s="55">
        <f>'Raw Data'!C46</f>
        <v>71.930000000000007</v>
      </c>
      <c r="G19" s="87">
        <f t="shared" si="1"/>
        <v>4.2756934238792645</v>
      </c>
      <c r="I19" s="110"/>
      <c r="J19" s="111"/>
    </row>
    <row r="20" spans="1:12" ht="13">
      <c r="B20" s="55">
        <f>'Raw Data'!A21</f>
        <v>17</v>
      </c>
      <c r="C20" s="55">
        <f>'Raw Data'!C21</f>
        <v>62.04</v>
      </c>
      <c r="D20" s="87">
        <f t="shared" si="0"/>
        <v>4.1277793383083381</v>
      </c>
      <c r="E20" s="55">
        <f>'Raw Data'!A47</f>
        <v>43</v>
      </c>
      <c r="F20" s="55">
        <f>'Raw Data'!C47</f>
        <v>44.58</v>
      </c>
      <c r="G20" s="87">
        <f t="shared" si="1"/>
        <v>3.7972853279577228</v>
      </c>
      <c r="I20" s="110"/>
      <c r="J20" s="111"/>
    </row>
    <row r="21" spans="1:12" ht="13">
      <c r="B21" s="55">
        <f>'Raw Data'!A22</f>
        <v>18</v>
      </c>
      <c r="C21" s="55">
        <f>'Raw Data'!C22</f>
        <v>49.11</v>
      </c>
      <c r="D21" s="87">
        <f t="shared" si="0"/>
        <v>3.8940626800511531</v>
      </c>
      <c r="E21" s="55">
        <f>'Raw Data'!A48</f>
        <v>44</v>
      </c>
      <c r="F21" s="55">
        <f>'Raw Data'!C48</f>
        <v>51.64</v>
      </c>
      <c r="G21" s="87">
        <f t="shared" si="1"/>
        <v>3.9442965659784419</v>
      </c>
      <c r="I21" s="110"/>
      <c r="J21" s="111"/>
    </row>
    <row r="22" spans="1:12" ht="13">
      <c r="B22" s="55">
        <f>'Raw Data'!A23</f>
        <v>19</v>
      </c>
      <c r="C22" s="55">
        <f>'Raw Data'!C23</f>
        <v>60.96</v>
      </c>
      <c r="D22" s="87">
        <f t="shared" si="0"/>
        <v>4.110217911378391</v>
      </c>
      <c r="E22" s="55">
        <f>'Raw Data'!A49</f>
        <v>45</v>
      </c>
      <c r="F22" s="55">
        <f>'Raw Data'!C49</f>
        <v>76.59</v>
      </c>
      <c r="G22" s="87">
        <f t="shared" si="1"/>
        <v>4.3384665199215018</v>
      </c>
      <c r="I22" s="112"/>
      <c r="J22" s="114"/>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6"/>
      <c r="J29" s="100"/>
      <c r="K29" s="100"/>
      <c r="L29" s="100"/>
    </row>
    <row r="30" spans="1:12" ht="13">
      <c r="H30" s="4"/>
      <c r="I30" s="106"/>
      <c r="J30" s="100"/>
      <c r="K30" s="106"/>
      <c r="L30" s="100"/>
    </row>
    <row r="31" spans="1:12" ht="13">
      <c r="A31" s="102" t="s">
        <v>14</v>
      </c>
      <c r="B31" s="100"/>
      <c r="C31" s="30">
        <f>COUNT(C$4:C$29)</f>
        <v>26</v>
      </c>
      <c r="F31" s="30">
        <f>COUNT(F$4:F$29)</f>
        <v>26</v>
      </c>
      <c r="H31" s="5"/>
      <c r="I31" s="5"/>
      <c r="J31" s="5"/>
      <c r="K31" s="5"/>
      <c r="L31" s="5"/>
    </row>
    <row r="32" spans="1:12" ht="12.75" customHeight="1">
      <c r="A32" s="102" t="s">
        <v>16</v>
      </c>
      <c r="B32" s="100"/>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100"/>
    </row>
    <row r="33" spans="1:12" ht="13">
      <c r="A33" s="102" t="s">
        <v>18</v>
      </c>
      <c r="B33" s="100"/>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100"/>
    </row>
    <row r="34" spans="1:12" ht="17.25" customHeight="1">
      <c r="A34" s="102" t="s">
        <v>19</v>
      </c>
      <c r="B34" s="100"/>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100"/>
    </row>
    <row r="35" spans="1:12" ht="13">
      <c r="A35" s="102" t="s">
        <v>20</v>
      </c>
      <c r="B35" s="100"/>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100"/>
    </row>
    <row r="36" spans="1:12" ht="13">
      <c r="A36" s="102" t="s">
        <v>21</v>
      </c>
      <c r="B36" s="100"/>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100"/>
    </row>
    <row r="37" spans="1:12" ht="13">
      <c r="A37" s="102" t="s">
        <v>22</v>
      </c>
      <c r="B37" s="100"/>
      <c r="C37" s="34">
        <f t="shared" ref="C37:D37" si="12">MAX(C$4:C$29)</f>
        <v>100</v>
      </c>
      <c r="D37" s="34">
        <f t="shared" si="12"/>
        <v>4.6051701859880918</v>
      </c>
      <c r="E37" s="33"/>
      <c r="F37" s="34">
        <f t="shared" ref="F37:G37" si="13">MAX(F$4:F$29)</f>
        <v>100</v>
      </c>
      <c r="G37" s="34">
        <f t="shared" si="13"/>
        <v>4.6051701859880918</v>
      </c>
      <c r="H37" s="5"/>
      <c r="I37" s="5"/>
      <c r="J37" s="5"/>
      <c r="K37" s="5"/>
      <c r="L37" s="100"/>
    </row>
    <row r="38" spans="1:12" ht="13">
      <c r="A38" s="15"/>
      <c r="C38" s="35"/>
      <c r="D38" s="35"/>
      <c r="E38" s="33"/>
      <c r="F38" s="35"/>
      <c r="G38" s="35"/>
      <c r="H38" s="5"/>
      <c r="I38" s="5"/>
      <c r="J38" s="5"/>
      <c r="K38" s="5"/>
      <c r="L38" s="100"/>
    </row>
    <row r="39" spans="1:12" ht="13">
      <c r="A39" s="15"/>
      <c r="B39" s="15"/>
      <c r="C39" s="89" t="s">
        <v>6</v>
      </c>
      <c r="D39" s="90" t="s">
        <v>136</v>
      </c>
      <c r="E39" s="35"/>
      <c r="F39" s="35"/>
      <c r="G39" s="35"/>
      <c r="H39" s="5"/>
      <c r="I39" s="5"/>
      <c r="J39" s="5"/>
      <c r="K39" s="5"/>
      <c r="L39" s="100"/>
    </row>
    <row r="40" spans="1:12" ht="15">
      <c r="A40" s="102" t="s">
        <v>138</v>
      </c>
      <c r="B40" s="100"/>
      <c r="C40" s="51">
        <f>SQRT((C33^2*(C31-1)+F33^2*(F31-1))/(C31+F31-2))</f>
        <v>20.89619836575601</v>
      </c>
      <c r="D40" s="51">
        <f>SQRT((D33^2*(C31-1)+G33^2*(F31-1))/(C31+F31-2))</f>
        <v>0.45174956457474119</v>
      </c>
      <c r="E40" s="35"/>
      <c r="F40" s="35"/>
      <c r="G40" s="91"/>
      <c r="H40" s="5"/>
      <c r="I40" s="5"/>
      <c r="J40" s="5"/>
      <c r="K40" s="5"/>
      <c r="L40" s="100"/>
    </row>
    <row r="41" spans="1:12" ht="15">
      <c r="A41" s="102" t="s">
        <v>139</v>
      </c>
      <c r="B41" s="100"/>
      <c r="C41" s="32">
        <f t="shared" ref="C41:D41" si="14">ABS(C32-F32)</f>
        <v>1</v>
      </c>
      <c r="D41" s="32">
        <f t="shared" si="14"/>
        <v>2.5013574435284625E-2</v>
      </c>
      <c r="E41" s="33"/>
      <c r="F41" s="33"/>
      <c r="G41" s="33"/>
      <c r="H41" s="77"/>
      <c r="I41" s="92"/>
    </row>
    <row r="42" spans="1:12" ht="13">
      <c r="A42" s="102" t="s">
        <v>140</v>
      </c>
      <c r="B42" s="100"/>
      <c r="C42" s="32">
        <f t="shared" ref="C42:D42" si="15">SQRT(C33^2/$C31 + F33^2/$F31)</f>
        <v>5.7955626669230851</v>
      </c>
      <c r="D42" s="32">
        <f t="shared" si="15"/>
        <v>0.12529278605713537</v>
      </c>
      <c r="E42" s="33"/>
      <c r="F42" s="33"/>
      <c r="G42" s="33"/>
    </row>
    <row r="44" spans="1:12" ht="15">
      <c r="A44" s="39"/>
      <c r="C44" s="93"/>
    </row>
    <row r="45" spans="1:12" ht="15">
      <c r="A45" s="15"/>
      <c r="C45" s="92"/>
    </row>
    <row r="46" spans="1:12" ht="13">
      <c r="A46" s="15"/>
    </row>
    <row r="47" spans="1:12" ht="13">
      <c r="A47" s="15"/>
      <c r="C47" s="33"/>
    </row>
  </sheetData>
  <mergeCells count="18">
    <mergeCell ref="A42:B42"/>
    <mergeCell ref="A31:B31"/>
    <mergeCell ref="A32:B32"/>
    <mergeCell ref="A33:B33"/>
    <mergeCell ref="A34:B34"/>
    <mergeCell ref="A35:B35"/>
    <mergeCell ref="A36:B36"/>
    <mergeCell ref="A37:B37"/>
    <mergeCell ref="I30:J30"/>
    <mergeCell ref="K30:L30"/>
    <mergeCell ref="L32:L40"/>
    <mergeCell ref="A40:B40"/>
    <mergeCell ref="A41:B41"/>
    <mergeCell ref="B2:D2"/>
    <mergeCell ref="E2:G2"/>
    <mergeCell ref="I2:J2"/>
    <mergeCell ref="I3:J22"/>
    <mergeCell ref="I29:L2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ht="15">
      <c r="A3" s="5">
        <v>1</v>
      </c>
      <c r="B3" s="5" t="s">
        <v>8</v>
      </c>
      <c r="C3" s="94">
        <f t="shared" ref="C3:C28" ca="1" si="0">ROUND(MAX(MIN(100, NORMINV(RAND(), $H$3, $I$3)),0), 2)</f>
        <v>44.25</v>
      </c>
      <c r="D3">
        <f ca="1">MAX(0, ROUND($H$12  + (100-'Raw Data'!C5)*$H$13 + NORMINV(RAND(), $H$11, $I$11),0))</f>
        <v>23</v>
      </c>
      <c r="E3" s="33">
        <f>LN('Raw Data'!C5)</f>
        <v>3.9804290380922063</v>
      </c>
      <c r="G3" s="6" t="s">
        <v>148</v>
      </c>
      <c r="H3" s="8">
        <f>EXP(H2+J2/2)</f>
        <v>59.145469849882268</v>
      </c>
      <c r="I3" s="8">
        <f>SQRT(J3)</f>
        <v>24.636830244795259</v>
      </c>
      <c r="J3" s="21">
        <f>(EXP(J2)-1)*(EXP(2*H2+J2))</f>
        <v>606.97340451085847</v>
      </c>
    </row>
    <row r="4" spans="1:11" ht="15">
      <c r="A4" s="5">
        <f t="shared" ref="A4:A54" si="1">A3+1</f>
        <v>2</v>
      </c>
      <c r="B4" s="5" t="s">
        <v>8</v>
      </c>
      <c r="C4" s="94">
        <f t="shared" ca="1" si="0"/>
        <v>29.29</v>
      </c>
      <c r="D4">
        <f ca="1">MAX(0, ROUND($H$12  + (100-'Raw Data'!C6)*$H$13 + NORMINV(RAND(), $H$11, $I$11),0))</f>
        <v>25</v>
      </c>
      <c r="E4" s="33">
        <f>LN('Raw Data'!C6)</f>
        <v>4.0395363257271057</v>
      </c>
      <c r="G4" s="6"/>
      <c r="H4" s="8"/>
      <c r="I4" s="8"/>
      <c r="J4" s="8"/>
    </row>
    <row r="5" spans="1:11" ht="15">
      <c r="A5" s="5">
        <f t="shared" si="1"/>
        <v>3</v>
      </c>
      <c r="B5" s="5" t="s">
        <v>8</v>
      </c>
      <c r="C5" s="94">
        <f t="shared" ca="1" si="0"/>
        <v>52.92</v>
      </c>
      <c r="D5">
        <f ca="1">MAX(0, ROUND($H$12  + (100-'Raw Data'!C7)*$H$13 + NORMINV(RAND(), $H$11, $I$11),0))</f>
        <v>9</v>
      </c>
      <c r="E5" s="33">
        <f>LN('Raw Data'!C7)</f>
        <v>4.5709927341865049</v>
      </c>
    </row>
    <row r="6" spans="1:11" ht="15">
      <c r="A6" s="5">
        <f t="shared" si="1"/>
        <v>4</v>
      </c>
      <c r="B6" s="5" t="s">
        <v>8</v>
      </c>
      <c r="C6" s="94">
        <f t="shared" ca="1" si="0"/>
        <v>65.75</v>
      </c>
      <c r="D6">
        <f ca="1">MAX(0, ROUND($H$12  + (100-'Raw Data'!C8)*$H$13 + NORMINV(RAND(), $H$11, $I$11),0))</f>
        <v>12</v>
      </c>
      <c r="E6" s="33">
        <f>LN('Raw Data'!C8)</f>
        <v>4.2664754815137789</v>
      </c>
      <c r="G6" s="22" t="s">
        <v>149</v>
      </c>
      <c r="H6" s="23" t="s">
        <v>16</v>
      </c>
      <c r="I6" s="24" t="s">
        <v>142</v>
      </c>
      <c r="J6" s="24" t="s">
        <v>143</v>
      </c>
    </row>
    <row r="7" spans="1:11" ht="15">
      <c r="A7" s="5">
        <f t="shared" si="1"/>
        <v>5</v>
      </c>
      <c r="B7" s="5" t="s">
        <v>8</v>
      </c>
      <c r="C7" s="94">
        <f t="shared" ca="1" si="0"/>
        <v>48.31</v>
      </c>
      <c r="D7">
        <f ca="1">MAX(0, ROUND($H$12  + (100-'Raw Data'!C9)*$H$13 + NORMINV(RAND(), $H$11, $I$11),0))</f>
        <v>5</v>
      </c>
      <c r="E7" s="33">
        <f>LN('Raw Data'!C9)</f>
        <v>4.6051701859880918</v>
      </c>
      <c r="G7" s="6" t="s">
        <v>147</v>
      </c>
      <c r="H7" s="7">
        <v>4.05</v>
      </c>
      <c r="I7" s="7">
        <v>0.38500000000000001</v>
      </c>
      <c r="J7" s="8">
        <f>I7^2</f>
        <v>0.148225</v>
      </c>
    </row>
    <row r="8" spans="1:11" ht="15">
      <c r="A8" s="5">
        <f t="shared" si="1"/>
        <v>6</v>
      </c>
      <c r="B8" s="5" t="s">
        <v>8</v>
      </c>
      <c r="C8" s="94">
        <f t="shared" ca="1" si="0"/>
        <v>46.26</v>
      </c>
      <c r="D8">
        <f ca="1">MAX(0, ROUND($H$12  + (100-'Raw Data'!C10)*$H$13 + NORMINV(RAND(), $H$11, $I$11),0))</f>
        <v>16</v>
      </c>
      <c r="E8" s="33">
        <f>LN('Raw Data'!C10)</f>
        <v>4.2546193087573192</v>
      </c>
      <c r="G8" s="6" t="s">
        <v>148</v>
      </c>
      <c r="H8" s="8">
        <f>EXP(H7+J7/2)</f>
        <v>61.81292592773503</v>
      </c>
      <c r="I8" s="8">
        <f>SQRT(J8)</f>
        <v>24.707687830858536</v>
      </c>
      <c r="J8" s="21">
        <f>(EXP(J7)-1)*(EXP(2*H7+J7))</f>
        <v>610.46983794715493</v>
      </c>
    </row>
    <row r="9" spans="1:11" ht="15">
      <c r="A9" s="5">
        <f t="shared" si="1"/>
        <v>7</v>
      </c>
      <c r="B9" s="5" t="s">
        <v>8</v>
      </c>
      <c r="C9" s="94">
        <f t="shared" ca="1" si="0"/>
        <v>74.94</v>
      </c>
      <c r="D9">
        <f ca="1">MAX(0, ROUND($H$12  + (100-'Raw Data'!C11)*$H$13 + NORMINV(RAND(), $H$11, $I$11),0))</f>
        <v>24</v>
      </c>
      <c r="E9" s="33">
        <f>LN('Raw Data'!C11)</f>
        <v>3.9374958014011772</v>
      </c>
      <c r="G9" s="6"/>
      <c r="H9" s="8"/>
      <c r="I9" s="8"/>
      <c r="J9" s="8"/>
    </row>
    <row r="10" spans="1:11" ht="15">
      <c r="A10" s="5">
        <f t="shared" si="1"/>
        <v>8</v>
      </c>
      <c r="B10" s="5" t="s">
        <v>8</v>
      </c>
      <c r="C10" s="94">
        <f t="shared" ca="1" si="0"/>
        <v>11.48</v>
      </c>
      <c r="D10">
        <f ca="1">MAX(0, ROUND($H$12  + (100-'Raw Data'!C12)*$H$13 + NORMINV(RAND(), $H$11, $I$11),0))</f>
        <v>24</v>
      </c>
      <c r="E10" s="33">
        <f>LN('Raw Data'!C12)</f>
        <v>3.804215052793841</v>
      </c>
      <c r="G10" s="5" t="s">
        <v>7</v>
      </c>
      <c r="H10" s="23" t="s">
        <v>16</v>
      </c>
      <c r="I10" s="24" t="s">
        <v>142</v>
      </c>
      <c r="K10" s="5"/>
    </row>
    <row r="11" spans="1:11" ht="15">
      <c r="A11" s="5">
        <f t="shared" si="1"/>
        <v>9</v>
      </c>
      <c r="B11" s="5" t="s">
        <v>8</v>
      </c>
      <c r="C11" s="94">
        <f t="shared" ca="1" si="0"/>
        <v>23.97</v>
      </c>
      <c r="D11">
        <f ca="1">MAX(0, ROUND($H$12  + (100-'Raw Data'!C13)*$H$13 + NORMINV(RAND(), $H$11, $I$11),0))</f>
        <v>38</v>
      </c>
      <c r="E11" s="33">
        <f>LN('Raw Data'!C13)</f>
        <v>3.6555811687124216</v>
      </c>
      <c r="G11" s="5" t="s">
        <v>150</v>
      </c>
      <c r="H11" s="7">
        <v>5</v>
      </c>
      <c r="I11" s="7">
        <v>4</v>
      </c>
      <c r="J11" s="21"/>
      <c r="K11" s="5"/>
    </row>
    <row r="12" spans="1:11" ht="15">
      <c r="A12" s="5">
        <f t="shared" si="1"/>
        <v>10</v>
      </c>
      <c r="B12" s="5" t="s">
        <v>8</v>
      </c>
      <c r="C12" s="94">
        <f t="shared" ca="1" si="0"/>
        <v>64.349999999999994</v>
      </c>
      <c r="D12">
        <f ca="1">MAX(0, ROUND($H$12  + (100-'Raw Data'!C14)*$H$13 + NORMINV(RAND(), $H$11, $I$11),0))</f>
        <v>15</v>
      </c>
      <c r="E12" s="33">
        <f>LN('Raw Data'!C14)</f>
        <v>4.3014942237819609</v>
      </c>
      <c r="G12" s="5" t="s">
        <v>53</v>
      </c>
      <c r="H12" s="5">
        <v>0.5</v>
      </c>
      <c r="J12" s="5"/>
    </row>
    <row r="13" spans="1:11" ht="15">
      <c r="A13" s="5">
        <f t="shared" si="1"/>
        <v>11</v>
      </c>
      <c r="B13" s="5" t="s">
        <v>8</v>
      </c>
      <c r="C13" s="94">
        <f t="shared" ca="1" si="0"/>
        <v>82.71</v>
      </c>
      <c r="D13">
        <f ca="1">MAX(0, ROUND($H$12  + (100-'Raw Data'!C15)*$H$13 + NORMINV(RAND(), $H$11, $I$11),0))</f>
        <v>2</v>
      </c>
      <c r="E13" s="33">
        <f>LN('Raw Data'!C15)</f>
        <v>4.5716134024592483</v>
      </c>
      <c r="G13" s="5" t="s">
        <v>54</v>
      </c>
      <c r="H13" s="5">
        <v>0.4</v>
      </c>
      <c r="J13" s="5"/>
    </row>
    <row r="14" spans="1:11" ht="15">
      <c r="A14" s="5">
        <f t="shared" si="1"/>
        <v>12</v>
      </c>
      <c r="B14" s="5" t="s">
        <v>8</v>
      </c>
      <c r="C14" s="94">
        <f t="shared" ca="1" si="0"/>
        <v>16.440000000000001</v>
      </c>
      <c r="D14">
        <f ca="1">MAX(0, ROUND($H$12  + (100-'Raw Data'!C16)*$H$13 + NORMINV(RAND(), $H$11, $I$11),0))</f>
        <v>16</v>
      </c>
      <c r="E14" s="33">
        <f>LN('Raw Data'!C16)</f>
        <v>4.1999050578825932</v>
      </c>
    </row>
    <row r="15" spans="1:11" ht="15">
      <c r="A15" s="5">
        <f t="shared" si="1"/>
        <v>13</v>
      </c>
      <c r="B15" s="5" t="s">
        <v>8</v>
      </c>
      <c r="C15" s="94">
        <f t="shared" ca="1" si="0"/>
        <v>100</v>
      </c>
      <c r="D15">
        <f ca="1">MAX(0, ROUND($H$12  + (100-'Raw Data'!C17)*$H$13 + NORMINV(RAND(), $H$11, $I$11),0))</f>
        <v>21</v>
      </c>
      <c r="E15" s="33">
        <f>LN('Raw Data'!C17)</f>
        <v>3.9304521408965134</v>
      </c>
    </row>
    <row r="16" spans="1:11" ht="15">
      <c r="A16" s="5">
        <f t="shared" si="1"/>
        <v>14</v>
      </c>
      <c r="B16" s="5" t="s">
        <v>8</v>
      </c>
      <c r="C16" s="94">
        <f t="shared" ca="1" si="0"/>
        <v>55</v>
      </c>
      <c r="D16">
        <f ca="1">MAX(0, ROUND($H$12  + (100-'Raw Data'!C18)*$H$13 + NORMINV(RAND(), $H$11, $I$11),0))</f>
        <v>28</v>
      </c>
      <c r="E16" s="33">
        <f>LN('Raw Data'!C18)</f>
        <v>3.9485477801105184</v>
      </c>
    </row>
    <row r="17" spans="1:5" ht="15">
      <c r="A17" s="5">
        <f t="shared" si="1"/>
        <v>15</v>
      </c>
      <c r="B17" s="5" t="s">
        <v>8</v>
      </c>
      <c r="C17" s="94">
        <f t="shared" ca="1" si="0"/>
        <v>35.9</v>
      </c>
      <c r="D17">
        <f ca="1">MAX(0, ROUND($H$12  + (100-'Raw Data'!C19)*$H$13 + NORMINV(RAND(), $H$11, $I$11),0))</f>
        <v>36</v>
      </c>
      <c r="E17" s="33">
        <f>LN('Raw Data'!C19)</f>
        <v>3.7357630400127868</v>
      </c>
    </row>
    <row r="18" spans="1:5" ht="15">
      <c r="A18" s="5">
        <f t="shared" si="1"/>
        <v>16</v>
      </c>
      <c r="B18" s="5" t="s">
        <v>8</v>
      </c>
      <c r="C18" s="94">
        <f t="shared" ca="1" si="0"/>
        <v>58.08</v>
      </c>
      <c r="D18">
        <f ca="1">MAX(0, ROUND($H$12  + (100-'Raw Data'!C20)*$H$13 + NORMINV(RAND(), $H$11, $I$11),0))</f>
        <v>41</v>
      </c>
      <c r="E18" s="33">
        <f>LN('Raw Data'!C20)</f>
        <v>2.6979998652487085</v>
      </c>
    </row>
    <row r="19" spans="1:5" ht="15">
      <c r="A19" s="5">
        <f t="shared" si="1"/>
        <v>17</v>
      </c>
      <c r="B19" s="5" t="s">
        <v>8</v>
      </c>
      <c r="C19" s="94">
        <f t="shared" ca="1" si="0"/>
        <v>76.94</v>
      </c>
      <c r="D19">
        <f ca="1">MAX(0, ROUND($H$12  + (100-'Raw Data'!C21)*$H$13 + NORMINV(RAND(), $H$11, $I$11),0))</f>
        <v>18</v>
      </c>
      <c r="E19" s="33">
        <f>LN('Raw Data'!C21)</f>
        <v>4.1277793383083381</v>
      </c>
    </row>
    <row r="20" spans="1:5" ht="15">
      <c r="A20" s="5">
        <f t="shared" si="1"/>
        <v>18</v>
      </c>
      <c r="B20" s="5" t="s">
        <v>8</v>
      </c>
      <c r="C20" s="94">
        <f t="shared" ca="1" si="0"/>
        <v>53.35</v>
      </c>
      <c r="D20">
        <f ca="1">MAX(0, ROUND($H$12  + (100-'Raw Data'!C22)*$H$13 + NORMINV(RAND(), $H$11, $I$11),0))</f>
        <v>29</v>
      </c>
      <c r="E20" s="33">
        <f>LN('Raw Data'!C22)</f>
        <v>3.8940626800511531</v>
      </c>
    </row>
    <row r="21" spans="1:5" ht="15">
      <c r="A21" s="5">
        <f t="shared" si="1"/>
        <v>19</v>
      </c>
      <c r="B21" s="5" t="s">
        <v>8</v>
      </c>
      <c r="C21" s="94">
        <f t="shared" ca="1" si="0"/>
        <v>97.21</v>
      </c>
      <c r="D21">
        <f ca="1">MAX(0, ROUND($H$12  + (100-'Raw Data'!C23)*$H$13 + NORMINV(RAND(), $H$11, $I$11),0))</f>
        <v>23</v>
      </c>
      <c r="E21" s="33">
        <f>LN('Raw Data'!C23)</f>
        <v>4.110217911378391</v>
      </c>
    </row>
    <row r="22" spans="1:5" ht="15">
      <c r="A22" s="5">
        <f t="shared" si="1"/>
        <v>20</v>
      </c>
      <c r="B22" s="5" t="s">
        <v>8</v>
      </c>
      <c r="C22" s="94">
        <f t="shared" ca="1" si="0"/>
        <v>65.7</v>
      </c>
      <c r="D22">
        <f ca="1">MAX(0, ROUND($H$12  + (100-'Raw Data'!C24)*$H$13 + NORMINV(RAND(), $H$11, $I$11),0))</f>
        <v>17</v>
      </c>
      <c r="E22" s="33">
        <f>LN('Raw Data'!C24)</f>
        <v>4.2158244597598102</v>
      </c>
    </row>
    <row r="23" spans="1:5" ht="15">
      <c r="A23" s="5">
        <f t="shared" si="1"/>
        <v>21</v>
      </c>
      <c r="B23" s="5" t="s">
        <v>8</v>
      </c>
      <c r="C23" s="94">
        <f t="shared" ca="1" si="0"/>
        <v>70.319999999999993</v>
      </c>
      <c r="D23">
        <f ca="1">MAX(0, ROUND($H$12  + (100-'Raw Data'!C25)*$H$13 + NORMINV(RAND(), $H$11, $I$11),0))</f>
        <v>27</v>
      </c>
      <c r="E23" s="33">
        <f>LN('Raw Data'!C25)</f>
        <v>4.0549104929766937</v>
      </c>
    </row>
    <row r="24" spans="1:5" ht="15">
      <c r="A24" s="5">
        <f t="shared" si="1"/>
        <v>22</v>
      </c>
      <c r="B24" s="5" t="s">
        <v>8</v>
      </c>
      <c r="C24" s="94">
        <f t="shared" ca="1" si="0"/>
        <v>61.78</v>
      </c>
      <c r="D24">
        <f ca="1">MAX(0, ROUND($H$12  + (100-'Raw Data'!C26)*$H$13 + NORMINV(RAND(), $H$11, $I$11),0))</f>
        <v>21</v>
      </c>
      <c r="E24" s="33">
        <f>LN('Raw Data'!C26)</f>
        <v>4.2413267525707461</v>
      </c>
    </row>
    <row r="25" spans="1:5" ht="15">
      <c r="A25" s="5">
        <f t="shared" si="1"/>
        <v>23</v>
      </c>
      <c r="B25" s="5" t="s">
        <v>8</v>
      </c>
      <c r="C25" s="94">
        <f t="shared" ca="1" si="0"/>
        <v>38.020000000000003</v>
      </c>
      <c r="D25">
        <f ca="1">MAX(0, ROUND($H$12  + (100-'Raw Data'!C27)*$H$13 + NORMINV(RAND(), $H$11, $I$11),0))</f>
        <v>24</v>
      </c>
      <c r="E25" s="33">
        <f>LN('Raw Data'!C27)</f>
        <v>4.0455043968026274</v>
      </c>
    </row>
    <row r="26" spans="1:5" ht="15">
      <c r="A26" s="5">
        <f t="shared" si="1"/>
        <v>24</v>
      </c>
      <c r="B26" s="5" t="s">
        <v>8</v>
      </c>
      <c r="C26" s="94">
        <f t="shared" ca="1" si="0"/>
        <v>96.69</v>
      </c>
      <c r="D26">
        <f ca="1">MAX(0, ROUND($H$12  + (100-'Raw Data'!C28)*$H$13 + NORMINV(RAND(), $H$11, $I$11),0))</f>
        <v>32</v>
      </c>
      <c r="E26" s="33">
        <f>LN('Raw Data'!C28)</f>
        <v>3.7106409458954492</v>
      </c>
    </row>
    <row r="27" spans="1:5" ht="15">
      <c r="A27" s="5">
        <f t="shared" si="1"/>
        <v>25</v>
      </c>
      <c r="B27" s="5" t="s">
        <v>8</v>
      </c>
      <c r="C27" s="94">
        <f t="shared" ca="1" si="0"/>
        <v>25.47</v>
      </c>
      <c r="D27">
        <f ca="1">MAX(0, ROUND($H$12  + (100-'Raw Data'!C29)*$H$13 + NORMINV(RAND(), $H$11, $I$11),0))</f>
        <v>20</v>
      </c>
      <c r="E27" s="33">
        <f>LN('Raw Data'!C29)</f>
        <v>3.9961803134348695</v>
      </c>
    </row>
    <row r="28" spans="1:5" ht="15">
      <c r="A28" s="5">
        <f t="shared" si="1"/>
        <v>26</v>
      </c>
      <c r="B28" s="5" t="s">
        <v>8</v>
      </c>
      <c r="C28" s="94">
        <f t="shared" ca="1" si="0"/>
        <v>94.5</v>
      </c>
      <c r="D28">
        <f ca="1">MAX(0, ROUND($H$12  + (100-'Raw Data'!C30)*$H$13 + NORMINV(RAND(), $H$11, $I$11),0))</f>
        <v>21</v>
      </c>
      <c r="E28" s="33">
        <f>LN('Raw Data'!C30)</f>
        <v>4.1108738641733114</v>
      </c>
    </row>
    <row r="29" spans="1:5" ht="15">
      <c r="A29" s="5">
        <f t="shared" si="1"/>
        <v>27</v>
      </c>
      <c r="B29" s="5" t="s">
        <v>9</v>
      </c>
      <c r="C29" s="94">
        <f t="shared" ref="C29:C54" ca="1" si="2">ROUND(MAX(MIN(100, NORMINV(RAND(), $H$8, $I$8)),0), 2)</f>
        <v>77.41</v>
      </c>
      <c r="D29">
        <f ca="1">MAX(0, ROUND($H$12  + (100-'Raw Data'!C31)*$H$13 + NORMINV(RAND(), $H$11, $I$11),0))</f>
        <v>8</v>
      </c>
      <c r="E29" s="33">
        <f>LN('Raw Data'!C31)</f>
        <v>4.5860892981752999</v>
      </c>
    </row>
    <row r="30" spans="1:5" ht="15">
      <c r="A30" s="5">
        <f t="shared" si="1"/>
        <v>28</v>
      </c>
      <c r="B30" s="5" t="s">
        <v>9</v>
      </c>
      <c r="C30" s="94">
        <f t="shared" ca="1" si="2"/>
        <v>21.79</v>
      </c>
      <c r="D30">
        <f ca="1">MAX(0, ROUND($H$12  + (100-'Raw Data'!C32)*$H$13 + NORMINV(RAND(), $H$11, $I$11),0))</f>
        <v>18</v>
      </c>
      <c r="E30" s="33">
        <f>LN('Raw Data'!C32)</f>
        <v>4.1437694455496237</v>
      </c>
    </row>
    <row r="31" spans="1:5" ht="15">
      <c r="A31" s="5">
        <f t="shared" si="1"/>
        <v>29</v>
      </c>
      <c r="B31" s="5" t="s">
        <v>9</v>
      </c>
      <c r="C31" s="94">
        <f t="shared" ca="1" si="2"/>
        <v>90.58</v>
      </c>
      <c r="D31">
        <f ca="1">MAX(0, ROUND($H$12  + (100-'Raw Data'!C33)*$H$13 + NORMINV(RAND(), $H$11, $I$11),0))</f>
        <v>20</v>
      </c>
      <c r="E31" s="33">
        <f>LN('Raw Data'!C33)</f>
        <v>4.1436108035250188</v>
      </c>
    </row>
    <row r="32" spans="1:5" ht="15">
      <c r="A32" s="5">
        <f t="shared" si="1"/>
        <v>30</v>
      </c>
      <c r="B32" s="5" t="s">
        <v>9</v>
      </c>
      <c r="C32" s="94">
        <f t="shared" ca="1" si="2"/>
        <v>16.239999999999998</v>
      </c>
      <c r="D32">
        <f ca="1">MAX(0, ROUND($H$12  + (100-'Raw Data'!C34)*$H$13 + NORMINV(RAND(), $H$11, $I$11),0))</f>
        <v>15</v>
      </c>
      <c r="E32" s="33">
        <f>LN('Raw Data'!C34)</f>
        <v>4.438643235092778</v>
      </c>
    </row>
    <row r="33" spans="1:5" ht="15">
      <c r="A33" s="5">
        <f t="shared" si="1"/>
        <v>31</v>
      </c>
      <c r="B33" s="5" t="s">
        <v>9</v>
      </c>
      <c r="C33" s="94">
        <f t="shared" ca="1" si="2"/>
        <v>79.72</v>
      </c>
      <c r="D33">
        <f ca="1">MAX(0, ROUND($H$12  + (100-'Raw Data'!C35)*$H$13 + NORMINV(RAND(), $H$11, $I$11),0))</f>
        <v>31</v>
      </c>
      <c r="E33" s="33">
        <f>LN('Raw Data'!C35)</f>
        <v>3.942358205224219</v>
      </c>
    </row>
    <row r="34" spans="1:5" ht="15">
      <c r="A34" s="5">
        <f t="shared" si="1"/>
        <v>32</v>
      </c>
      <c r="B34" s="5" t="s">
        <v>9</v>
      </c>
      <c r="C34" s="94">
        <f t="shared" ca="1" si="2"/>
        <v>68.41</v>
      </c>
      <c r="D34">
        <f ca="1">MAX(0, ROUND($H$12  + (100-'Raw Data'!C36)*$H$13 + NORMINV(RAND(), $H$11, $I$11),0))</f>
        <v>25</v>
      </c>
      <c r="E34" s="33">
        <f>LN('Raw Data'!C36)</f>
        <v>3.8486571298063263</v>
      </c>
    </row>
    <row r="35" spans="1:5" ht="15">
      <c r="A35" s="5">
        <f t="shared" si="1"/>
        <v>33</v>
      </c>
      <c r="B35" s="5" t="s">
        <v>9</v>
      </c>
      <c r="C35" s="94">
        <f t="shared" ca="1" si="2"/>
        <v>94.4</v>
      </c>
      <c r="D35">
        <f ca="1">MAX(0, ROUND($H$12  + (100-'Raw Data'!C37)*$H$13 + NORMINV(RAND(), $H$11, $I$11),0))</f>
        <v>25</v>
      </c>
      <c r="E35" s="33">
        <f>LN('Raw Data'!C37)</f>
        <v>3.9425522104629689</v>
      </c>
    </row>
    <row r="36" spans="1:5" ht="15">
      <c r="A36" s="5">
        <f t="shared" si="1"/>
        <v>34</v>
      </c>
      <c r="B36" s="5" t="s">
        <v>9</v>
      </c>
      <c r="C36" s="94">
        <f t="shared" ca="1" si="2"/>
        <v>60.39</v>
      </c>
      <c r="D36">
        <f ca="1">MAX(0, ROUND($H$12  + (100-'Raw Data'!C38)*$H$13 + NORMINV(RAND(), $H$11, $I$11),0))</f>
        <v>29</v>
      </c>
      <c r="E36" s="33">
        <f>LN('Raw Data'!C38)</f>
        <v>3.9502817175452365</v>
      </c>
    </row>
    <row r="37" spans="1:5" ht="15">
      <c r="A37" s="5">
        <f t="shared" si="1"/>
        <v>35</v>
      </c>
      <c r="B37" s="5" t="s">
        <v>9</v>
      </c>
      <c r="C37" s="94">
        <f t="shared" ca="1" si="2"/>
        <v>59.87</v>
      </c>
      <c r="D37">
        <f ca="1">MAX(0, ROUND($H$12  + (100-'Raw Data'!C39)*$H$13 + NORMINV(RAND(), $H$11, $I$11),0))</f>
        <v>18</v>
      </c>
      <c r="E37" s="33">
        <f>LN('Raw Data'!C39)</f>
        <v>4.1052845022604352</v>
      </c>
    </row>
    <row r="38" spans="1:5" ht="15">
      <c r="A38" s="5">
        <f t="shared" si="1"/>
        <v>36</v>
      </c>
      <c r="B38" s="5" t="s">
        <v>9</v>
      </c>
      <c r="C38" s="94">
        <f t="shared" ca="1" si="2"/>
        <v>84.25</v>
      </c>
      <c r="D38">
        <f ca="1">MAX(0, ROUND($H$12  + (100-'Raw Data'!C40)*$H$13 + NORMINV(RAND(), $H$11, $I$11),0))</f>
        <v>19</v>
      </c>
      <c r="E38" s="33">
        <f>LN('Raw Data'!C40)</f>
        <v>3.9932342608529692</v>
      </c>
    </row>
    <row r="39" spans="1:5" ht="15">
      <c r="A39" s="5">
        <f t="shared" si="1"/>
        <v>37</v>
      </c>
      <c r="B39" s="5" t="s">
        <v>9</v>
      </c>
      <c r="C39" s="94">
        <f t="shared" ca="1" si="2"/>
        <v>25.42</v>
      </c>
      <c r="D39">
        <f ca="1">MAX(0, ROUND($H$12  + (100-'Raw Data'!C41)*$H$13 + NORMINV(RAND(), $H$11, $I$11),0))</f>
        <v>15</v>
      </c>
      <c r="E39" s="33">
        <f>LN('Raw Data'!C41)</f>
        <v>4.3330989610504584</v>
      </c>
    </row>
    <row r="40" spans="1:5" ht="15">
      <c r="A40" s="5">
        <f t="shared" si="1"/>
        <v>38</v>
      </c>
      <c r="B40" s="5" t="s">
        <v>9</v>
      </c>
      <c r="C40" s="94">
        <f t="shared" ca="1" si="2"/>
        <v>100</v>
      </c>
      <c r="D40">
        <f ca="1">MAX(0, ROUND($H$12  + (100-'Raw Data'!C42)*$H$13 + NORMINV(RAND(), $H$11, $I$11),0))</f>
        <v>8</v>
      </c>
      <c r="E40" s="33">
        <f>LN('Raw Data'!C42)</f>
        <v>4.3899948043230586</v>
      </c>
    </row>
    <row r="41" spans="1:5" ht="15">
      <c r="A41" s="5">
        <f t="shared" si="1"/>
        <v>39</v>
      </c>
      <c r="B41" s="5" t="s">
        <v>9</v>
      </c>
      <c r="C41" s="94">
        <f t="shared" ca="1" si="2"/>
        <v>71.09</v>
      </c>
      <c r="D41">
        <f ca="1">MAX(0, ROUND($H$12  + (100-'Raw Data'!C43)*$H$13 + NORMINV(RAND(), $H$11, $I$11),0))</f>
        <v>10</v>
      </c>
      <c r="E41" s="33">
        <f>LN('Raw Data'!C43)</f>
        <v>4.5332444464165027</v>
      </c>
    </row>
    <row r="42" spans="1:5" ht="15">
      <c r="A42" s="5">
        <f t="shared" si="1"/>
        <v>40</v>
      </c>
      <c r="B42" s="5" t="s">
        <v>9</v>
      </c>
      <c r="C42" s="94">
        <f t="shared" ca="1" si="2"/>
        <v>65.58</v>
      </c>
      <c r="D42">
        <f ca="1">MAX(0, ROUND($H$12  + (100-'Raw Data'!C44)*$H$13 + NORMINV(RAND(), $H$11, $I$11),0))</f>
        <v>49</v>
      </c>
      <c r="E42" s="33">
        <f>LN('Raw Data'!C44)</f>
        <v>2.0386195471595809</v>
      </c>
    </row>
    <row r="43" spans="1:5" ht="15">
      <c r="A43" s="5">
        <f t="shared" si="1"/>
        <v>41</v>
      </c>
      <c r="B43" s="5" t="s">
        <v>9</v>
      </c>
      <c r="C43" s="94">
        <f t="shared" ca="1" si="2"/>
        <v>94.62</v>
      </c>
      <c r="D43">
        <f ca="1">MAX(0, ROUND($H$12  + (100-'Raw Data'!C45)*$H$13 + NORMINV(RAND(), $H$11, $I$11),0))</f>
        <v>32</v>
      </c>
      <c r="E43" s="33">
        <f>LN('Raw Data'!C45)</f>
        <v>3.2872818575322613</v>
      </c>
    </row>
    <row r="44" spans="1:5" ht="15">
      <c r="A44" s="5">
        <f t="shared" si="1"/>
        <v>42</v>
      </c>
      <c r="B44" s="5" t="s">
        <v>9</v>
      </c>
      <c r="C44" s="94">
        <f t="shared" ca="1" si="2"/>
        <v>40.729999999999997</v>
      </c>
      <c r="D44">
        <f ca="1">MAX(0, ROUND($H$12  + (100-'Raw Data'!C46)*$H$13 + NORMINV(RAND(), $H$11, $I$11),0))</f>
        <v>16</v>
      </c>
      <c r="E44" s="33">
        <f>LN('Raw Data'!C46)</f>
        <v>4.2756934238792645</v>
      </c>
    </row>
    <row r="45" spans="1:5" ht="15">
      <c r="A45" s="5">
        <f t="shared" si="1"/>
        <v>43</v>
      </c>
      <c r="B45" s="5" t="s">
        <v>9</v>
      </c>
      <c r="C45" s="94">
        <f t="shared" ca="1" si="2"/>
        <v>37.75</v>
      </c>
      <c r="D45">
        <f ca="1">MAX(0, ROUND($H$12  + (100-'Raw Data'!C47)*$H$13 + NORMINV(RAND(), $H$11, $I$11),0))</f>
        <v>25</v>
      </c>
      <c r="E45" s="33">
        <f>LN('Raw Data'!C47)</f>
        <v>3.7972853279577228</v>
      </c>
    </row>
    <row r="46" spans="1:5" ht="15">
      <c r="A46" s="5">
        <f t="shared" si="1"/>
        <v>44</v>
      </c>
      <c r="B46" s="5" t="s">
        <v>9</v>
      </c>
      <c r="C46" s="94">
        <f t="shared" ca="1" si="2"/>
        <v>69.239999999999995</v>
      </c>
      <c r="D46">
        <f ca="1">MAX(0, ROUND($H$12  + (100-'Raw Data'!C48)*$H$13 + NORMINV(RAND(), $H$11, $I$11),0))</f>
        <v>26</v>
      </c>
      <c r="E46" s="33">
        <f>LN('Raw Data'!C48)</f>
        <v>3.9442965659784419</v>
      </c>
    </row>
    <row r="47" spans="1:5" ht="15">
      <c r="A47" s="5">
        <f t="shared" si="1"/>
        <v>45</v>
      </c>
      <c r="B47" s="5" t="s">
        <v>9</v>
      </c>
      <c r="C47" s="94">
        <f t="shared" ca="1" si="2"/>
        <v>20.61</v>
      </c>
      <c r="D47">
        <f ca="1">MAX(0, ROUND($H$12  + (100-'Raw Data'!C49)*$H$13 + NORMINV(RAND(), $H$11, $I$11),0))</f>
        <v>18</v>
      </c>
      <c r="E47" s="33">
        <f>LN('Raw Data'!C49)</f>
        <v>4.3384665199215018</v>
      </c>
    </row>
    <row r="48" spans="1:5" ht="15">
      <c r="A48" s="5">
        <f t="shared" si="1"/>
        <v>46</v>
      </c>
      <c r="B48" s="5" t="s">
        <v>9</v>
      </c>
      <c r="C48" s="94">
        <f t="shared" ca="1" si="2"/>
        <v>63.58</v>
      </c>
      <c r="D48">
        <f ca="1">MAX(0, ROUND($H$12  + (100-'Raw Data'!C50)*$H$13 + NORMINV(RAND(), $H$11, $I$11),0))</f>
        <v>0</v>
      </c>
      <c r="E48" s="33">
        <f>LN('Raw Data'!C50)</f>
        <v>4.6051701859880918</v>
      </c>
    </row>
    <row r="49" spans="1:5" ht="15">
      <c r="A49" s="5">
        <f t="shared" si="1"/>
        <v>47</v>
      </c>
      <c r="B49" s="5" t="s">
        <v>9</v>
      </c>
      <c r="C49" s="94">
        <f t="shared" ca="1" si="2"/>
        <v>88.46</v>
      </c>
      <c r="D49">
        <f ca="1">MAX(0, ROUND($H$12  + (100-'Raw Data'!C51)*$H$13 + NORMINV(RAND(), $H$11, $I$11),0))</f>
        <v>28</v>
      </c>
      <c r="E49" s="33">
        <f>LN('Raw Data'!C51)</f>
        <v>3.8097687713893897</v>
      </c>
    </row>
    <row r="50" spans="1:5" ht="15">
      <c r="A50" s="5">
        <f t="shared" si="1"/>
        <v>48</v>
      </c>
      <c r="B50" s="5" t="s">
        <v>9</v>
      </c>
      <c r="C50" s="94">
        <f t="shared" ca="1" si="2"/>
        <v>47.6</v>
      </c>
      <c r="D50">
        <f ca="1">MAX(0, ROUND($H$12  + (100-'Raw Data'!C52)*$H$13 + NORMINV(RAND(), $H$11, $I$11),0))</f>
        <v>21</v>
      </c>
      <c r="E50" s="33">
        <f>LN('Raw Data'!C52)</f>
        <v>4.0562964945845703</v>
      </c>
    </row>
    <row r="51" spans="1:5" ht="15">
      <c r="A51" s="5">
        <f t="shared" si="1"/>
        <v>49</v>
      </c>
      <c r="B51" s="5" t="s">
        <v>9</v>
      </c>
      <c r="C51" s="94">
        <f t="shared" ca="1" si="2"/>
        <v>64.510000000000005</v>
      </c>
      <c r="D51">
        <f ca="1">MAX(0, ROUND($H$12  + (100-'Raw Data'!C53)*$H$13 + NORMINV(RAND(), $H$11, $I$11),0))</f>
        <v>15</v>
      </c>
      <c r="E51" s="33">
        <f>LN('Raw Data'!C53)</f>
        <v>4.5951198501345898</v>
      </c>
    </row>
    <row r="52" spans="1:5" ht="15">
      <c r="A52" s="5">
        <f t="shared" si="1"/>
        <v>50</v>
      </c>
      <c r="B52" s="5" t="s">
        <v>9</v>
      </c>
      <c r="C52" s="94">
        <f t="shared" ca="1" si="2"/>
        <v>37.71</v>
      </c>
      <c r="D52">
        <f ca="1">MAX(0, ROUND($H$12  + (100-'Raw Data'!C54)*$H$13 + NORMINV(RAND(), $H$11, $I$11),0))</f>
        <v>31</v>
      </c>
      <c r="E52" s="33">
        <f>LN('Raw Data'!C54)</f>
        <v>3.6498787167642037</v>
      </c>
    </row>
    <row r="53" spans="1:5" ht="15">
      <c r="A53" s="5">
        <f t="shared" si="1"/>
        <v>51</v>
      </c>
      <c r="B53" s="5" t="s">
        <v>9</v>
      </c>
      <c r="C53" s="94">
        <f t="shared" ca="1" si="2"/>
        <v>79.36</v>
      </c>
      <c r="D53">
        <f ca="1">MAX(0, ROUND($H$12  + (100-'Raw Data'!C55)*$H$13 + NORMINV(RAND(), $H$11, $I$11),0))</f>
        <v>32</v>
      </c>
      <c r="E53" s="33">
        <f>LN('Raw Data'!C55)</f>
        <v>3.6030491975087431</v>
      </c>
    </row>
    <row r="54" spans="1:5" ht="15">
      <c r="A54" s="5">
        <f t="shared" si="1"/>
        <v>52</v>
      </c>
      <c r="B54" s="5" t="s">
        <v>9</v>
      </c>
      <c r="C54" s="94">
        <f t="shared" ca="1" si="2"/>
        <v>62.32</v>
      </c>
      <c r="D54">
        <f ca="1">MAX(0, ROUND($H$12  + (100-'Raw Data'!C56)*$H$13 + NORMINV(RAND(), $H$11, $I$11),0))</f>
        <v>24</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57.293461538461543</v>
      </c>
    </row>
    <row r="60" spans="1:5" ht="13">
      <c r="A60" s="5" t="s">
        <v>154</v>
      </c>
      <c r="B60" s="33">
        <f ca="1">AVERAGEA($C$29:$C$54)</f>
        <v>62.37076923076922</v>
      </c>
    </row>
    <row r="61" spans="1:5" ht="13">
      <c r="A61" s="5" t="s">
        <v>155</v>
      </c>
      <c r="B61" s="33">
        <f ca="1">STDEVA($C$3:$C$28)</f>
        <v>25.295303902868234</v>
      </c>
    </row>
    <row r="62" spans="1:5" ht="13">
      <c r="A62" s="5" t="s">
        <v>156</v>
      </c>
      <c r="B62" s="33">
        <f ca="1">STDEVA($C$29:$C$54)</f>
        <v>24.67708620126405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ht="15">
      <c r="A5" s="5">
        <v>1</v>
      </c>
      <c r="B5" s="16" t="s">
        <v>8</v>
      </c>
      <c r="C5" s="19">
        <v>53.54</v>
      </c>
      <c r="D5" s="20">
        <v>26</v>
      </c>
      <c r="G5" s="6"/>
      <c r="H5" s="8"/>
      <c r="I5" s="8"/>
      <c r="J5" s="21"/>
    </row>
    <row r="6" spans="1:10" ht="15">
      <c r="A6" s="5">
        <v>2</v>
      </c>
      <c r="B6" s="16" t="s">
        <v>8</v>
      </c>
      <c r="C6" s="19">
        <v>56.8</v>
      </c>
      <c r="D6" s="20">
        <v>25</v>
      </c>
      <c r="G6" s="6"/>
      <c r="H6" s="8"/>
      <c r="I6" s="8"/>
      <c r="J6" s="8"/>
    </row>
    <row r="7" spans="1:10" ht="15">
      <c r="A7" s="5">
        <v>3</v>
      </c>
      <c r="B7" s="16" t="s">
        <v>8</v>
      </c>
      <c r="C7" s="19">
        <v>96.64</v>
      </c>
      <c r="D7" s="20">
        <v>9</v>
      </c>
    </row>
    <row r="8" spans="1:10" ht="15">
      <c r="A8" s="5">
        <v>4</v>
      </c>
      <c r="B8" s="16" t="s">
        <v>8</v>
      </c>
      <c r="C8" s="19">
        <v>71.27</v>
      </c>
      <c r="D8" s="20">
        <v>16</v>
      </c>
      <c r="G8" s="22"/>
      <c r="H8" s="23"/>
      <c r="I8" s="24"/>
      <c r="J8" s="24"/>
    </row>
    <row r="9" spans="1:10" ht="15">
      <c r="A9" s="5">
        <v>5</v>
      </c>
      <c r="B9" s="16" t="s">
        <v>8</v>
      </c>
      <c r="C9" s="19">
        <v>100</v>
      </c>
      <c r="D9" s="20">
        <v>4</v>
      </c>
      <c r="G9" s="6"/>
      <c r="H9" s="7"/>
      <c r="I9" s="7"/>
      <c r="J9" s="8"/>
    </row>
    <row r="10" spans="1:10" ht="15">
      <c r="A10" s="5">
        <v>6</v>
      </c>
      <c r="B10" s="16" t="s">
        <v>8</v>
      </c>
      <c r="C10" s="19">
        <v>70.430000000000007</v>
      </c>
      <c r="D10" s="20">
        <v>15</v>
      </c>
      <c r="G10" s="6"/>
      <c r="H10" s="8"/>
      <c r="I10" s="8"/>
      <c r="J10" s="21"/>
    </row>
    <row r="11" spans="1:10" ht="15">
      <c r="A11" s="5">
        <v>7</v>
      </c>
      <c r="B11" s="16" t="s">
        <v>8</v>
      </c>
      <c r="C11" s="19">
        <v>51.29</v>
      </c>
      <c r="D11" s="20">
        <v>29</v>
      </c>
      <c r="G11" s="6"/>
      <c r="H11" s="8"/>
      <c r="I11" s="8"/>
      <c r="J11" s="8"/>
    </row>
    <row r="12" spans="1:10" ht="15">
      <c r="A12" s="5">
        <v>8</v>
      </c>
      <c r="B12" s="16" t="s">
        <v>8</v>
      </c>
      <c r="C12" s="19">
        <v>44.89</v>
      </c>
      <c r="D12" s="20">
        <v>24</v>
      </c>
      <c r="G12" s="5"/>
      <c r="H12" s="23"/>
      <c r="I12" s="24"/>
    </row>
    <row r="13" spans="1:10" ht="15">
      <c r="A13" s="5">
        <v>9</v>
      </c>
      <c r="B13" s="16" t="s">
        <v>8</v>
      </c>
      <c r="C13" s="25">
        <v>38.69</v>
      </c>
      <c r="D13" s="26">
        <v>26</v>
      </c>
      <c r="G13" s="5"/>
      <c r="H13" s="7"/>
      <c r="I13" s="7"/>
      <c r="J13" s="21"/>
    </row>
    <row r="14" spans="1:10" ht="15">
      <c r="A14" s="5">
        <v>10</v>
      </c>
      <c r="B14" s="16" t="s">
        <v>8</v>
      </c>
      <c r="C14" s="19">
        <v>73.81</v>
      </c>
      <c r="D14" s="20">
        <v>12</v>
      </c>
      <c r="G14" s="5"/>
      <c r="H14" s="5"/>
    </row>
    <row r="15" spans="1:10" ht="15">
      <c r="A15" s="5">
        <v>11</v>
      </c>
      <c r="B15" s="16" t="s">
        <v>8</v>
      </c>
      <c r="C15" s="19">
        <v>96.7</v>
      </c>
      <c r="D15" s="20">
        <v>6</v>
      </c>
      <c r="G15" s="5"/>
      <c r="H15" s="5"/>
    </row>
    <row r="16" spans="1:10" ht="15">
      <c r="A16" s="5">
        <v>12</v>
      </c>
      <c r="B16" s="16" t="s">
        <v>8</v>
      </c>
      <c r="C16" s="19">
        <v>66.680000000000007</v>
      </c>
      <c r="D16" s="20">
        <v>20</v>
      </c>
    </row>
    <row r="17" spans="1:4" ht="15">
      <c r="A17" s="5">
        <v>13</v>
      </c>
      <c r="B17" s="16" t="s">
        <v>8</v>
      </c>
      <c r="C17" s="19">
        <v>50.93</v>
      </c>
      <c r="D17" s="20">
        <v>29</v>
      </c>
    </row>
    <row r="18" spans="1:4" ht="15">
      <c r="A18" s="5">
        <v>14</v>
      </c>
      <c r="B18" s="16" t="s">
        <v>8</v>
      </c>
      <c r="C18" s="19">
        <v>51.86</v>
      </c>
      <c r="D18" s="20">
        <v>26</v>
      </c>
    </row>
    <row r="19" spans="1:4" ht="15">
      <c r="A19" s="5">
        <v>15</v>
      </c>
      <c r="B19" s="16" t="s">
        <v>8</v>
      </c>
      <c r="C19" s="19">
        <v>41.92</v>
      </c>
      <c r="D19" s="20">
        <v>30</v>
      </c>
    </row>
    <row r="20" spans="1:4" ht="15">
      <c r="A20" s="5">
        <v>16</v>
      </c>
      <c r="B20" s="16" t="s">
        <v>8</v>
      </c>
      <c r="C20" s="19">
        <v>14.85</v>
      </c>
      <c r="D20" s="20">
        <v>49</v>
      </c>
    </row>
    <row r="21" spans="1:4" ht="15">
      <c r="A21" s="5">
        <v>17</v>
      </c>
      <c r="B21" s="16" t="s">
        <v>8</v>
      </c>
      <c r="C21" s="19">
        <v>62.04</v>
      </c>
      <c r="D21" s="20">
        <v>25</v>
      </c>
    </row>
    <row r="22" spans="1:4" ht="15">
      <c r="A22" s="5">
        <v>18</v>
      </c>
      <c r="B22" s="16" t="s">
        <v>8</v>
      </c>
      <c r="C22" s="19">
        <v>49.11</v>
      </c>
      <c r="D22" s="20">
        <v>30</v>
      </c>
    </row>
    <row r="23" spans="1:4" ht="15">
      <c r="A23" s="5">
        <v>19</v>
      </c>
      <c r="B23" s="16" t="s">
        <v>8</v>
      </c>
      <c r="C23" s="19">
        <v>60.96</v>
      </c>
      <c r="D23" s="20">
        <v>24</v>
      </c>
    </row>
    <row r="24" spans="1:4" ht="15">
      <c r="A24" s="5">
        <v>20</v>
      </c>
      <c r="B24" s="16" t="s">
        <v>8</v>
      </c>
      <c r="C24" s="19">
        <v>67.75</v>
      </c>
      <c r="D24" s="20">
        <v>22</v>
      </c>
    </row>
    <row r="25" spans="1:4" ht="15">
      <c r="A25" s="5">
        <v>21</v>
      </c>
      <c r="B25" s="16" t="s">
        <v>8</v>
      </c>
      <c r="C25" s="19">
        <v>57.68</v>
      </c>
      <c r="D25" s="20">
        <v>16</v>
      </c>
    </row>
    <row r="26" spans="1:4" ht="15">
      <c r="A26" s="5">
        <v>22</v>
      </c>
      <c r="B26" s="16" t="s">
        <v>8</v>
      </c>
      <c r="C26" s="19">
        <v>69.5</v>
      </c>
      <c r="D26" s="20">
        <v>28</v>
      </c>
    </row>
    <row r="27" spans="1:4" ht="15">
      <c r="A27" s="5">
        <v>23</v>
      </c>
      <c r="B27" s="16" t="s">
        <v>8</v>
      </c>
      <c r="C27" s="19">
        <v>57.14</v>
      </c>
      <c r="D27" s="20">
        <v>24</v>
      </c>
    </row>
    <row r="28" spans="1:4" ht="15">
      <c r="A28" s="5">
        <v>24</v>
      </c>
      <c r="B28" s="16" t="s">
        <v>8</v>
      </c>
      <c r="C28" s="19">
        <v>40.880000000000003</v>
      </c>
      <c r="D28" s="20">
        <v>27</v>
      </c>
    </row>
    <row r="29" spans="1:4" ht="15">
      <c r="A29" s="5">
        <v>25</v>
      </c>
      <c r="B29" s="16" t="s">
        <v>8</v>
      </c>
      <c r="C29" s="19">
        <v>54.39</v>
      </c>
      <c r="D29" s="20">
        <v>26</v>
      </c>
    </row>
    <row r="30" spans="1:4" ht="15">
      <c r="A30" s="5">
        <v>26</v>
      </c>
      <c r="B30" s="16" t="s">
        <v>8</v>
      </c>
      <c r="C30" s="19">
        <v>61</v>
      </c>
      <c r="D30" s="20">
        <v>17</v>
      </c>
    </row>
    <row r="31" spans="1:4" ht="15">
      <c r="A31" s="5">
        <v>27</v>
      </c>
      <c r="B31" s="16" t="s">
        <v>9</v>
      </c>
      <c r="C31" s="19">
        <v>98.11</v>
      </c>
      <c r="D31" s="20">
        <v>10</v>
      </c>
    </row>
    <row r="32" spans="1:4" ht="15">
      <c r="A32" s="5">
        <v>28</v>
      </c>
      <c r="B32" s="16" t="s">
        <v>9</v>
      </c>
      <c r="C32" s="19">
        <v>63.04</v>
      </c>
      <c r="D32" s="20">
        <v>21</v>
      </c>
    </row>
    <row r="33" spans="1:4" ht="15">
      <c r="A33" s="5">
        <v>29</v>
      </c>
      <c r="B33" s="16" t="s">
        <v>9</v>
      </c>
      <c r="C33" s="19">
        <v>63.03</v>
      </c>
      <c r="D33" s="20">
        <v>22</v>
      </c>
    </row>
    <row r="34" spans="1:4" ht="15">
      <c r="A34" s="5">
        <v>30</v>
      </c>
      <c r="B34" s="16" t="s">
        <v>9</v>
      </c>
      <c r="C34" s="19">
        <v>84.66</v>
      </c>
      <c r="D34" s="20">
        <v>16</v>
      </c>
    </row>
    <row r="35" spans="1:4" ht="15">
      <c r="A35" s="5">
        <v>31</v>
      </c>
      <c r="B35" s="16" t="s">
        <v>9</v>
      </c>
      <c r="C35" s="19">
        <v>51.54</v>
      </c>
      <c r="D35" s="20">
        <v>23</v>
      </c>
    </row>
    <row r="36" spans="1:4" ht="15">
      <c r="A36" s="5">
        <v>32</v>
      </c>
      <c r="B36" s="16" t="s">
        <v>9</v>
      </c>
      <c r="C36" s="19">
        <v>46.93</v>
      </c>
      <c r="D36" s="20">
        <v>31</v>
      </c>
    </row>
    <row r="37" spans="1:4" ht="15">
      <c r="A37" s="5">
        <v>33</v>
      </c>
      <c r="B37" s="16" t="s">
        <v>9</v>
      </c>
      <c r="C37" s="19">
        <v>51.55</v>
      </c>
      <c r="D37" s="20">
        <v>20</v>
      </c>
    </row>
    <row r="38" spans="1:4" ht="15">
      <c r="A38" s="5">
        <v>34</v>
      </c>
      <c r="B38" s="16" t="s">
        <v>9</v>
      </c>
      <c r="C38" s="19">
        <v>51.95</v>
      </c>
      <c r="D38" s="20">
        <v>21</v>
      </c>
    </row>
    <row r="39" spans="1:4" ht="15">
      <c r="A39" s="5">
        <v>35</v>
      </c>
      <c r="B39" s="16" t="s">
        <v>9</v>
      </c>
      <c r="C39" s="19">
        <v>60.66</v>
      </c>
      <c r="D39" s="20">
        <v>26</v>
      </c>
    </row>
    <row r="40" spans="1:4" ht="15">
      <c r="A40" s="5">
        <v>36</v>
      </c>
      <c r="B40" s="16" t="s">
        <v>9</v>
      </c>
      <c r="C40" s="19">
        <v>54.23</v>
      </c>
      <c r="D40" s="20">
        <v>24</v>
      </c>
    </row>
    <row r="41" spans="1:4" ht="15">
      <c r="A41" s="5">
        <v>37</v>
      </c>
      <c r="B41" s="16" t="s">
        <v>9</v>
      </c>
      <c r="C41" s="19">
        <v>76.180000000000007</v>
      </c>
      <c r="D41" s="20">
        <v>12</v>
      </c>
    </row>
    <row r="42" spans="1:4" ht="15">
      <c r="A42" s="5">
        <v>38</v>
      </c>
      <c r="B42" s="16" t="s">
        <v>9</v>
      </c>
      <c r="C42" s="19">
        <v>80.64</v>
      </c>
      <c r="D42" s="20">
        <v>12</v>
      </c>
    </row>
    <row r="43" spans="1:4" ht="15">
      <c r="A43" s="5">
        <v>39</v>
      </c>
      <c r="B43" s="16" t="s">
        <v>9</v>
      </c>
      <c r="C43" s="19">
        <v>93.06</v>
      </c>
      <c r="D43" s="20">
        <v>7</v>
      </c>
    </row>
    <row r="44" spans="1:4" ht="15">
      <c r="A44" s="5">
        <v>40</v>
      </c>
      <c r="B44" s="16" t="s">
        <v>9</v>
      </c>
      <c r="C44" s="19">
        <v>7.68</v>
      </c>
      <c r="D44" s="20">
        <v>38</v>
      </c>
    </row>
    <row r="45" spans="1:4" ht="15">
      <c r="A45" s="5">
        <v>41</v>
      </c>
      <c r="B45" s="16" t="s">
        <v>9</v>
      </c>
      <c r="C45" s="19">
        <v>26.77</v>
      </c>
      <c r="D45" s="20">
        <v>36</v>
      </c>
    </row>
    <row r="46" spans="1:4" ht="15">
      <c r="A46" s="5">
        <v>42</v>
      </c>
      <c r="B46" s="16" t="s">
        <v>9</v>
      </c>
      <c r="C46" s="25">
        <v>71.930000000000007</v>
      </c>
      <c r="D46" s="20">
        <v>19</v>
      </c>
    </row>
    <row r="47" spans="1:4" ht="15">
      <c r="A47" s="5">
        <v>43</v>
      </c>
      <c r="B47" s="16" t="s">
        <v>9</v>
      </c>
      <c r="C47" s="19">
        <v>44.58</v>
      </c>
      <c r="D47" s="20">
        <v>33</v>
      </c>
    </row>
    <row r="48" spans="1:4" ht="15">
      <c r="A48" s="5">
        <v>44</v>
      </c>
      <c r="B48" s="16" t="s">
        <v>9</v>
      </c>
      <c r="C48" s="19">
        <v>51.64</v>
      </c>
      <c r="D48" s="20">
        <v>27</v>
      </c>
    </row>
    <row r="49" spans="1:4" ht="15">
      <c r="A49" s="5">
        <v>45</v>
      </c>
      <c r="B49" s="16" t="s">
        <v>9</v>
      </c>
      <c r="C49" s="19">
        <v>76.59</v>
      </c>
      <c r="D49" s="20">
        <v>14</v>
      </c>
    </row>
    <row r="50" spans="1:4" ht="15">
      <c r="A50" s="5">
        <v>46</v>
      </c>
      <c r="B50" s="16" t="s">
        <v>9</v>
      </c>
      <c r="C50" s="19">
        <v>100</v>
      </c>
      <c r="D50" s="20">
        <v>9</v>
      </c>
    </row>
    <row r="51" spans="1:4" ht="15">
      <c r="A51" s="5">
        <v>47</v>
      </c>
      <c r="B51" s="16" t="s">
        <v>9</v>
      </c>
      <c r="C51" s="19">
        <v>45.14</v>
      </c>
      <c r="D51" s="20">
        <v>26</v>
      </c>
    </row>
    <row r="52" spans="1:4" ht="15">
      <c r="A52" s="5">
        <v>48</v>
      </c>
      <c r="B52" s="16" t="s">
        <v>9</v>
      </c>
      <c r="C52" s="19">
        <v>57.76</v>
      </c>
      <c r="D52" s="20">
        <v>22</v>
      </c>
    </row>
    <row r="53" spans="1:4" ht="15">
      <c r="A53" s="5">
        <v>49</v>
      </c>
      <c r="B53" s="16" t="s">
        <v>9</v>
      </c>
      <c r="C53" s="19">
        <v>99</v>
      </c>
      <c r="D53" s="20">
        <v>7</v>
      </c>
    </row>
    <row r="54" spans="1:4" ht="15">
      <c r="A54" s="5">
        <v>50</v>
      </c>
      <c r="B54" s="16" t="s">
        <v>9</v>
      </c>
      <c r="C54" s="19">
        <v>38.47</v>
      </c>
      <c r="D54" s="20">
        <v>26</v>
      </c>
    </row>
    <row r="55" spans="1:4" ht="15">
      <c r="A55" s="5">
        <v>51</v>
      </c>
      <c r="B55" s="16" t="s">
        <v>9</v>
      </c>
      <c r="C55" s="19">
        <v>36.71</v>
      </c>
      <c r="D55" s="20">
        <v>34</v>
      </c>
    </row>
    <row r="56" spans="1:4" ht="15">
      <c r="A56" s="5">
        <v>52</v>
      </c>
      <c r="B56" s="16" t="s">
        <v>9</v>
      </c>
      <c r="C56" s="19">
        <v>54.9</v>
      </c>
      <c r="D56" s="20">
        <v>29</v>
      </c>
    </row>
    <row r="58" spans="1:4" ht="13">
      <c r="A58" s="15" t="s">
        <v>10</v>
      </c>
      <c r="B58" s="96">
        <f>COUNTIF($B$5:$B$56, "Solo")</f>
        <v>26</v>
      </c>
      <c r="C58" s="97"/>
      <c r="D58" s="98"/>
    </row>
    <row r="59" spans="1:4" ht="13">
      <c r="A59" s="15" t="s">
        <v>11</v>
      </c>
      <c r="B59" s="96">
        <f>COUNTIF($B$5:$B$56, "Pair")</f>
        <v>26</v>
      </c>
      <c r="C59" s="97"/>
      <c r="D59" s="98"/>
    </row>
    <row r="60" spans="1:4" ht="13">
      <c r="A60" s="15" t="s">
        <v>12</v>
      </c>
      <c r="B60" s="96">
        <f>B58+2*B59</f>
        <v>78</v>
      </c>
      <c r="C60" s="97"/>
      <c r="D60" s="98"/>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23" zoomScale="161" workbookViewId="0">
      <selection activeCell="F46" sqref="F46:I46"/>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99" t="s">
        <v>8</v>
      </c>
      <c r="C2" s="100"/>
      <c r="D2" s="100"/>
      <c r="E2" s="101" t="s">
        <v>9</v>
      </c>
      <c r="F2" s="100"/>
      <c r="G2" s="100"/>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2" t="s">
        <v>14</v>
      </c>
      <c r="B31" s="100"/>
      <c r="C31" s="30">
        <f>COUNT(C$4:C$29)</f>
        <v>26</v>
      </c>
      <c r="D31" s="100"/>
      <c r="E31" s="100"/>
      <c r="F31" s="30">
        <f>COUNT(F$4:F$29)</f>
        <v>26</v>
      </c>
      <c r="I31" s="31" t="s">
        <v>15</v>
      </c>
    </row>
    <row r="32" spans="1:9" ht="20.25" customHeight="1">
      <c r="A32" s="102" t="s">
        <v>16</v>
      </c>
      <c r="B32" s="100"/>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2" t="s">
        <v>18</v>
      </c>
      <c r="B33" s="100"/>
      <c r="C33" s="32">
        <f>STDEV(C$4:C$29)</f>
        <v>18.729963016925137</v>
      </c>
      <c r="D33" s="32">
        <f>STDEVA(D$4:D$29)</f>
        <v>9.1706052144882992</v>
      </c>
      <c r="E33" s="33"/>
      <c r="F33" s="32">
        <f t="shared" ref="F33:G33" si="2">STDEVA(F$4:F$29)</f>
        <v>22.96965882670839</v>
      </c>
      <c r="G33" s="32">
        <f t="shared" si="2"/>
        <v>8.9467656381854201</v>
      </c>
    </row>
    <row r="34" spans="1:9" ht="16.5" customHeight="1">
      <c r="A34" s="102" t="s">
        <v>19</v>
      </c>
      <c r="B34" s="100"/>
      <c r="C34" s="32">
        <f t="shared" ref="C34:D34" si="3">SKEW(C$4:C$29)</f>
        <v>0.30912598517031509</v>
      </c>
      <c r="D34" s="32">
        <f t="shared" si="3"/>
        <v>0.274075301080976</v>
      </c>
      <c r="E34" s="33"/>
      <c r="F34" s="32">
        <f t="shared" ref="F34:G34" si="4">SKEW(F$4:F$29)</f>
        <v>-2.1278470122811671E-2</v>
      </c>
      <c r="G34" s="32">
        <f t="shared" si="4"/>
        <v>-3.1840554215871203E-2</v>
      </c>
    </row>
    <row r="35" spans="1:9" ht="13">
      <c r="A35" s="102" t="s">
        <v>20</v>
      </c>
      <c r="B35" s="100"/>
      <c r="C35" s="34">
        <f t="shared" ref="C35:D35" si="5">MEDIAN(C$4:C$29)</f>
        <v>57.41</v>
      </c>
      <c r="D35" s="34">
        <f t="shared" si="5"/>
        <v>24.5</v>
      </c>
      <c r="E35" s="35"/>
      <c r="F35" s="34">
        <f t="shared" ref="F35:G35" si="6">MEDIAN(F$4:F$29)</f>
        <v>56.33</v>
      </c>
      <c r="G35" s="34">
        <f t="shared" si="6"/>
        <v>22</v>
      </c>
    </row>
    <row r="36" spans="1:9" ht="13">
      <c r="A36" s="102" t="s">
        <v>21</v>
      </c>
      <c r="B36" s="100"/>
      <c r="C36" s="34">
        <f t="shared" ref="C36:D36" si="7">MIN(C$4:C$29)</f>
        <v>14.85</v>
      </c>
      <c r="D36" s="34">
        <f t="shared" si="7"/>
        <v>4</v>
      </c>
      <c r="E36" s="33"/>
      <c r="F36" s="34">
        <f t="shared" ref="F36:G36" si="8">MIN(F$4:F$29)</f>
        <v>7.68</v>
      </c>
      <c r="G36" s="34">
        <f t="shared" si="8"/>
        <v>7</v>
      </c>
    </row>
    <row r="37" spans="1:9" ht="13">
      <c r="A37" s="102" t="s">
        <v>22</v>
      </c>
      <c r="B37" s="100"/>
      <c r="C37" s="34">
        <f t="shared" ref="C37:D37" si="9">MAX(C$4:C$29)</f>
        <v>100</v>
      </c>
      <c r="D37" s="34">
        <f t="shared" si="9"/>
        <v>49</v>
      </c>
      <c r="E37" s="33"/>
      <c r="F37" s="34">
        <f t="shared" ref="F37:G37" si="10">MAX(F$4:F$29)</f>
        <v>100</v>
      </c>
      <c r="G37" s="34">
        <f t="shared" si="10"/>
        <v>38</v>
      </c>
    </row>
    <row r="38" spans="1:9" ht="13">
      <c r="A38" s="102" t="s">
        <v>23</v>
      </c>
      <c r="B38" s="100"/>
      <c r="C38" s="34">
        <f t="shared" ref="C38:D38" si="11">QUARTILE(C$4:C$29, 1)</f>
        <v>51.019999999999996</v>
      </c>
      <c r="D38" s="34">
        <f t="shared" si="11"/>
        <v>16.25</v>
      </c>
      <c r="E38" s="33"/>
      <c r="F38" s="34">
        <f t="shared" ref="F38:G38" si="12">QUARTILE(F$4:F$29, 1)</f>
        <v>48.082499999999996</v>
      </c>
      <c r="G38" s="34">
        <f t="shared" si="12"/>
        <v>14.5</v>
      </c>
    </row>
    <row r="39" spans="1:9" ht="13">
      <c r="A39" s="102" t="s">
        <v>24</v>
      </c>
      <c r="B39" s="100"/>
      <c r="C39" s="34">
        <f t="shared" ref="C39:D39" si="13">QUARTILE(C$4:C$29, 3)</f>
        <v>69.0625</v>
      </c>
      <c r="D39" s="34">
        <f t="shared" si="13"/>
        <v>26.75</v>
      </c>
      <c r="E39" s="33"/>
      <c r="F39" s="34">
        <f t="shared" ref="F39:G39" si="14">QUARTILE(F$4:F$29, 3)</f>
        <v>76.487500000000011</v>
      </c>
      <c r="G39" s="34">
        <f t="shared" si="14"/>
        <v>26.75</v>
      </c>
    </row>
    <row r="40" spans="1:9" ht="13">
      <c r="A40" s="102" t="s">
        <v>25</v>
      </c>
      <c r="B40" s="100"/>
      <c r="C40" s="36">
        <f t="shared" ref="C40:D40" si="15">MAX(0, C38-1.5*(C39-C38))</f>
        <v>23.95624999999999</v>
      </c>
      <c r="D40" s="37">
        <f t="shared" si="15"/>
        <v>0.5</v>
      </c>
      <c r="E40" s="33"/>
      <c r="F40" s="37">
        <f t="shared" ref="F40:G40" si="16">MAX(0, F38-1.5*(F39-F38))</f>
        <v>5.474999999999973</v>
      </c>
      <c r="G40" s="37">
        <f t="shared" si="16"/>
        <v>0</v>
      </c>
    </row>
    <row r="41" spans="1:9" ht="13">
      <c r="A41" s="102" t="s">
        <v>26</v>
      </c>
      <c r="B41" s="100"/>
      <c r="C41" s="36">
        <f>MIN(C39+1.5*(C39-C38), 100)</f>
        <v>96.126249999999999</v>
      </c>
      <c r="D41" s="37">
        <f>D39+1.5*(D39-D38)</f>
        <v>42.5</v>
      </c>
      <c r="E41" s="33"/>
      <c r="F41" s="37">
        <f>MIN(F39+1.5*(F39-F38), 100)</f>
        <v>100</v>
      </c>
      <c r="G41" s="37">
        <f>G39+1.5*(G39-G38)</f>
        <v>45.125</v>
      </c>
    </row>
    <row r="43" spans="1:9" ht="13">
      <c r="A43" s="38" t="s">
        <v>27</v>
      </c>
      <c r="C43" s="103" t="s">
        <v>28</v>
      </c>
      <c r="D43" s="100"/>
      <c r="E43" s="100"/>
      <c r="F43" s="100"/>
      <c r="G43" s="100"/>
    </row>
    <row r="44" spans="1:9" ht="13">
      <c r="A44" s="39" t="s">
        <v>29</v>
      </c>
    </row>
    <row r="45" spans="1:9" ht="13">
      <c r="B45" s="16" t="s">
        <v>4</v>
      </c>
      <c r="C45" s="16" t="s">
        <v>30</v>
      </c>
      <c r="D45" s="16" t="s">
        <v>31</v>
      </c>
      <c r="E45" s="16" t="s">
        <v>32</v>
      </c>
      <c r="F45" s="104" t="s">
        <v>33</v>
      </c>
      <c r="G45" s="97"/>
      <c r="H45" s="97"/>
      <c r="I45" s="98"/>
    </row>
    <row r="46" spans="1:9" ht="13">
      <c r="A46" s="15" t="s">
        <v>34</v>
      </c>
      <c r="B46" s="40">
        <f>B6</f>
        <v>3</v>
      </c>
      <c r="C46" s="40" t="s">
        <v>6</v>
      </c>
      <c r="D46" s="40">
        <f>C6</f>
        <v>96.64</v>
      </c>
      <c r="E46" s="40" t="s">
        <v>35</v>
      </c>
      <c r="F46" s="105" t="s">
        <v>36</v>
      </c>
      <c r="G46" s="97"/>
      <c r="H46" s="97"/>
      <c r="I46" s="98"/>
    </row>
    <row r="47" spans="1:9" ht="13">
      <c r="A47" s="15" t="s">
        <v>37</v>
      </c>
      <c r="B47" s="40">
        <f>B8</f>
        <v>5</v>
      </c>
      <c r="C47" s="40" t="s">
        <v>6</v>
      </c>
      <c r="D47" s="40">
        <f>C8</f>
        <v>100</v>
      </c>
      <c r="E47" s="40" t="s">
        <v>35</v>
      </c>
      <c r="F47" s="105" t="s">
        <v>36</v>
      </c>
      <c r="G47" s="97"/>
      <c r="H47" s="97"/>
      <c r="I47" s="98"/>
    </row>
    <row r="48" spans="1:9" ht="13">
      <c r="A48" s="15" t="s">
        <v>38</v>
      </c>
      <c r="B48" s="40">
        <f>B14</f>
        <v>11</v>
      </c>
      <c r="C48" s="40" t="s">
        <v>6</v>
      </c>
      <c r="D48" s="40">
        <f>C14</f>
        <v>96.7</v>
      </c>
      <c r="E48" s="40" t="s">
        <v>35</v>
      </c>
      <c r="F48" s="105" t="s">
        <v>36</v>
      </c>
      <c r="G48" s="97"/>
      <c r="H48" s="97"/>
      <c r="I48" s="98"/>
    </row>
    <row r="49" spans="1:12" ht="13">
      <c r="A49" s="15" t="s">
        <v>39</v>
      </c>
      <c r="B49" s="40">
        <f>B19</f>
        <v>16</v>
      </c>
      <c r="C49" s="40" t="s">
        <v>6</v>
      </c>
      <c r="D49" s="40">
        <f>C19</f>
        <v>14.85</v>
      </c>
      <c r="E49" s="40" t="s">
        <v>35</v>
      </c>
      <c r="F49" s="105" t="s">
        <v>36</v>
      </c>
      <c r="G49" s="97"/>
      <c r="H49" s="97"/>
      <c r="I49" s="98"/>
    </row>
    <row r="50" spans="1:12" ht="13">
      <c r="A50" s="15" t="s">
        <v>40</v>
      </c>
      <c r="B50" s="40">
        <f>B19</f>
        <v>16</v>
      </c>
      <c r="C50" s="40" t="s">
        <v>7</v>
      </c>
      <c r="D50" s="40">
        <f>D19</f>
        <v>49</v>
      </c>
      <c r="E50" s="40" t="s">
        <v>35</v>
      </c>
      <c r="F50" s="105" t="s">
        <v>36</v>
      </c>
      <c r="G50" s="97"/>
      <c r="H50" s="97"/>
      <c r="I50" s="98"/>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6"/>
      <c r="J94" s="100"/>
    </row>
    <row r="95" spans="9:12" ht="13">
      <c r="I95" s="4"/>
      <c r="J95" s="4"/>
    </row>
  </sheetData>
  <mergeCells count="22">
    <mergeCell ref="F47:I47"/>
    <mergeCell ref="F48:I48"/>
    <mergeCell ref="F49:I49"/>
    <mergeCell ref="F50:I50"/>
    <mergeCell ref="I94:J94"/>
    <mergeCell ref="A33:B33"/>
    <mergeCell ref="A34:B34"/>
    <mergeCell ref="C43:G43"/>
    <mergeCell ref="F45:I45"/>
    <mergeCell ref="F46:I46"/>
    <mergeCell ref="A35:B35"/>
    <mergeCell ref="A36:B36"/>
    <mergeCell ref="A37:B37"/>
    <mergeCell ref="A38:B38"/>
    <mergeCell ref="A39:B39"/>
    <mergeCell ref="A40:B40"/>
    <mergeCell ref="A41:B41"/>
    <mergeCell ref="B2:D2"/>
    <mergeCell ref="E2:G2"/>
    <mergeCell ref="A31:B31"/>
    <mergeCell ref="D31:E31"/>
    <mergeCell ref="A32:B32"/>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9"/>
  <sheetViews>
    <sheetView tabSelected="1" topLeftCell="I1" zoomScale="191" zoomScaleNormal="268" workbookViewId="0">
      <selection activeCell="R5" sqref="R5"/>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8" ht="15.75" customHeight="1">
      <c r="B1" s="42" t="s">
        <v>43</v>
      </c>
      <c r="C1" s="5"/>
      <c r="E1" s="5"/>
      <c r="G1" s="14"/>
      <c r="J1" s="43"/>
      <c r="K1" s="43"/>
      <c r="L1" s="43"/>
      <c r="M1" s="43"/>
      <c r="N1" s="43"/>
    </row>
    <row r="2" spans="1:18" ht="15.75" customHeight="1">
      <c r="B2" s="42"/>
      <c r="C2" s="5"/>
      <c r="E2" s="5"/>
      <c r="G2" s="14"/>
      <c r="J2" s="43"/>
      <c r="K2" s="43"/>
      <c r="L2" s="43"/>
      <c r="M2" s="43"/>
      <c r="N2" s="43"/>
    </row>
    <row r="3" spans="1:18" ht="15.75" customHeight="1">
      <c r="B3" s="44"/>
      <c r="C3" s="5"/>
      <c r="E3" s="5"/>
      <c r="G3" s="14" t="s">
        <v>44</v>
      </c>
      <c r="H3" s="40" t="s">
        <v>45</v>
      </c>
      <c r="J3" s="116" t="s">
        <v>46</v>
      </c>
      <c r="K3" s="100"/>
      <c r="L3" s="100"/>
      <c r="M3" s="100"/>
      <c r="N3" s="100"/>
    </row>
    <row r="4" spans="1:18" ht="15.75" customHeight="1">
      <c r="A4" s="45" t="str">
        <f>'Raw Data'!A4</f>
        <v>Case #</v>
      </c>
      <c r="B4" s="46" t="str">
        <f>'Raw Data'!C4</f>
        <v>%TP</v>
      </c>
      <c r="C4" s="16" t="s">
        <v>47</v>
      </c>
      <c r="D4" s="20" t="str">
        <f>'Raw Data'!D4</f>
        <v>#Defects</v>
      </c>
      <c r="E4" s="16" t="s">
        <v>48</v>
      </c>
      <c r="G4" s="117" t="s">
        <v>49</v>
      </c>
      <c r="H4" s="100"/>
      <c r="J4" s="118"/>
      <c r="K4" s="100"/>
      <c r="L4" s="100"/>
      <c r="M4" s="100"/>
      <c r="N4" s="100"/>
    </row>
    <row r="5" spans="1:18"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100"/>
      <c r="K5" s="100"/>
      <c r="L5" s="100"/>
      <c r="M5" s="100"/>
      <c r="N5" s="100"/>
      <c r="P5" s="95">
        <f>PEARSON($D$5:$D$56, $B$5:$B$56)</f>
        <v>-0.91720677499078029</v>
      </c>
      <c r="Q5">
        <f>CORREL($B$5:$B$56, $D$5:$D$56)</f>
        <v>-0.91720677499078029</v>
      </c>
      <c r="R5">
        <f>CORREL($D$5:$D$56, $B$5:$B$56)</f>
        <v>-0.91720677499078029</v>
      </c>
    </row>
    <row r="6" spans="1:18" ht="15.75" customHeight="1">
      <c r="A6">
        <f>'Raw Data'!A6</f>
        <v>2</v>
      </c>
      <c r="B6" s="30">
        <f>'Raw Data'!C6</f>
        <v>56.8</v>
      </c>
      <c r="C6" s="30">
        <f t="shared" si="0"/>
        <v>28</v>
      </c>
      <c r="D6" s="30">
        <f>'Raw Data'!D6</f>
        <v>25</v>
      </c>
      <c r="E6" s="30">
        <f t="shared" si="1"/>
        <v>22</v>
      </c>
      <c r="G6" s="15" t="s">
        <v>51</v>
      </c>
      <c r="H6" s="48">
        <f>PEARSON($C$5:C$56, $E$5:E$56)</f>
        <v>-0.8811057107791842</v>
      </c>
      <c r="J6" s="100"/>
      <c r="K6" s="100"/>
      <c r="L6" s="100"/>
      <c r="M6" s="100"/>
      <c r="N6" s="100"/>
      <c r="P6" s="95">
        <f>PEARSON($E$5:E$56, $C$5:C$56)</f>
        <v>-0.8811057107791842</v>
      </c>
      <c r="Q6">
        <f>CORREL($C$5:C$56, $E$5:E$56)</f>
        <v>-0.8811057107791842</v>
      </c>
      <c r="R6" s="95">
        <f>CORREL($E$5:E$56, $C$5:C$56)</f>
        <v>-0.8811057107791842</v>
      </c>
    </row>
    <row r="7" spans="1:18" ht="15.75" customHeight="1">
      <c r="A7">
        <f>'Raw Data'!A7</f>
        <v>3</v>
      </c>
      <c r="B7" s="30">
        <f>'Raw Data'!C7</f>
        <v>96.64</v>
      </c>
      <c r="C7" s="30">
        <f t="shared" si="0"/>
        <v>6</v>
      </c>
      <c r="D7" s="30">
        <f>'Raw Data'!D7</f>
        <v>9</v>
      </c>
      <c r="E7" s="30">
        <f t="shared" si="1"/>
        <v>47</v>
      </c>
      <c r="J7" s="100"/>
      <c r="K7" s="100"/>
      <c r="L7" s="100"/>
      <c r="M7" s="100"/>
      <c r="N7" s="100"/>
    </row>
    <row r="8" spans="1:18" ht="15.75" customHeight="1">
      <c r="A8">
        <f>'Raw Data'!A8</f>
        <v>4</v>
      </c>
      <c r="B8" s="30">
        <f>'Raw Data'!C8</f>
        <v>71.27</v>
      </c>
      <c r="C8" s="30">
        <f t="shared" si="0"/>
        <v>14</v>
      </c>
      <c r="D8" s="30">
        <f>'Raw Data'!D8</f>
        <v>16</v>
      </c>
      <c r="E8" s="30">
        <f t="shared" si="1"/>
        <v>38</v>
      </c>
      <c r="G8" s="38" t="s">
        <v>52</v>
      </c>
      <c r="J8" s="100"/>
      <c r="K8" s="100"/>
      <c r="L8" s="100"/>
      <c r="M8" s="100"/>
      <c r="N8" s="100"/>
    </row>
    <row r="9" spans="1:18" ht="15.75" customHeight="1">
      <c r="A9">
        <f>'Raw Data'!A9</f>
        <v>5</v>
      </c>
      <c r="B9" s="30">
        <f>'Raw Data'!C9</f>
        <v>100</v>
      </c>
      <c r="C9" s="30">
        <f t="shared" si="0"/>
        <v>1</v>
      </c>
      <c r="D9" s="30">
        <f>'Raw Data'!D9</f>
        <v>4</v>
      </c>
      <c r="E9" s="30">
        <f t="shared" si="1"/>
        <v>52</v>
      </c>
      <c r="G9" s="15" t="s">
        <v>53</v>
      </c>
      <c r="H9" s="48">
        <f>INTERCEPT($D$5:$D$56, $B$5:$B$56)</f>
        <v>46.129734040658491</v>
      </c>
      <c r="J9" s="100"/>
      <c r="K9" s="100"/>
      <c r="L9" s="100"/>
      <c r="M9" s="100"/>
      <c r="N9" s="100"/>
    </row>
    <row r="10" spans="1:18" ht="15.75" customHeight="1">
      <c r="A10">
        <f>'Raw Data'!A10</f>
        <v>6</v>
      </c>
      <c r="B10" s="30">
        <f>'Raw Data'!C10</f>
        <v>70.430000000000007</v>
      </c>
      <c r="C10" s="30">
        <f t="shared" si="0"/>
        <v>15</v>
      </c>
      <c r="D10" s="30">
        <f>'Raw Data'!D10</f>
        <v>15</v>
      </c>
      <c r="E10" s="30">
        <f t="shared" si="1"/>
        <v>41</v>
      </c>
      <c r="G10" s="15" t="s">
        <v>54</v>
      </c>
      <c r="H10" s="48">
        <f>SLOPE($D$5:$D$56, $B$5:$B$56)</f>
        <v>-0.3967422303778369</v>
      </c>
      <c r="J10" s="100"/>
      <c r="K10" s="100"/>
      <c r="L10" s="100"/>
      <c r="M10" s="100"/>
      <c r="N10" s="100"/>
    </row>
    <row r="11" spans="1:18" ht="15.75" customHeight="1">
      <c r="A11">
        <f>'Raw Data'!A11</f>
        <v>7</v>
      </c>
      <c r="B11" s="30">
        <f>'Raw Data'!C11</f>
        <v>51.29</v>
      </c>
      <c r="C11" s="30">
        <f t="shared" si="0"/>
        <v>38</v>
      </c>
      <c r="D11" s="30">
        <f>'Raw Data'!D11</f>
        <v>29</v>
      </c>
      <c r="E11" s="30">
        <f t="shared" si="1"/>
        <v>9</v>
      </c>
      <c r="G11" s="15" t="s">
        <v>55</v>
      </c>
      <c r="H11" s="49" t="s">
        <v>56</v>
      </c>
      <c r="I11" s="50"/>
      <c r="J11" s="100"/>
      <c r="K11" s="100"/>
      <c r="L11" s="100"/>
      <c r="M11" s="100"/>
      <c r="N11" s="100"/>
    </row>
    <row r="12" spans="1:18" ht="15.75" customHeight="1">
      <c r="A12">
        <f>'Raw Data'!A12</f>
        <v>8</v>
      </c>
      <c r="B12" s="30">
        <f>'Raw Data'!C12</f>
        <v>44.89</v>
      </c>
      <c r="C12" s="30">
        <f t="shared" si="0"/>
        <v>43</v>
      </c>
      <c r="D12" s="30">
        <f>'Raw Data'!D12</f>
        <v>24</v>
      </c>
      <c r="E12" s="30">
        <f t="shared" si="1"/>
        <v>24</v>
      </c>
      <c r="G12" s="15" t="s">
        <v>57</v>
      </c>
      <c r="H12" s="49" t="s">
        <v>58</v>
      </c>
      <c r="I12" s="50"/>
      <c r="J12" s="100"/>
      <c r="K12" s="100"/>
      <c r="L12" s="100"/>
      <c r="M12" s="100"/>
      <c r="N12" s="100"/>
    </row>
    <row r="13" spans="1:18" ht="15.75" customHeight="1">
      <c r="A13" s="5">
        <v>9</v>
      </c>
      <c r="B13" s="30">
        <f>'Raw Data'!C13</f>
        <v>38.69</v>
      </c>
      <c r="C13" s="30">
        <f t="shared" si="0"/>
        <v>47</v>
      </c>
      <c r="D13" s="30">
        <f>'Raw Data'!D13</f>
        <v>26</v>
      </c>
      <c r="E13" s="30">
        <f t="shared" si="1"/>
        <v>15</v>
      </c>
      <c r="G13" s="15" t="s">
        <v>59</v>
      </c>
      <c r="H13" s="48">
        <f>D58*SQRT((1-H5^2)*((B59-1)/(B59-2)))</f>
        <v>3.6418560620845599</v>
      </c>
      <c r="J13" s="100"/>
      <c r="K13" s="100"/>
      <c r="L13" s="100"/>
      <c r="M13" s="100"/>
      <c r="N13" s="100"/>
    </row>
    <row r="14" spans="1:18" ht="15.75" customHeight="1">
      <c r="A14">
        <f>'Raw Data'!A14</f>
        <v>10</v>
      </c>
      <c r="B14" s="30">
        <f>'Raw Data'!C14</f>
        <v>73.81</v>
      </c>
      <c r="C14" s="30">
        <f t="shared" si="0"/>
        <v>12</v>
      </c>
      <c r="D14" s="30">
        <f>'Raw Data'!D14</f>
        <v>12</v>
      </c>
      <c r="E14" s="30">
        <f t="shared" si="1"/>
        <v>43</v>
      </c>
      <c r="G14" s="15" t="s">
        <v>60</v>
      </c>
      <c r="H14" s="48">
        <f>H13/(B58*SQRT(B59-1))</f>
        <v>2.4599907197583686E-2</v>
      </c>
      <c r="J14" s="100"/>
      <c r="K14" s="100"/>
      <c r="L14" s="100"/>
      <c r="M14" s="100"/>
      <c r="N14" s="100"/>
    </row>
    <row r="15" spans="1:18" ht="15.75" customHeight="1">
      <c r="A15">
        <f>'Raw Data'!A15</f>
        <v>11</v>
      </c>
      <c r="B15" s="30">
        <f>'Raw Data'!C15</f>
        <v>96.7</v>
      </c>
      <c r="C15" s="30">
        <f t="shared" si="0"/>
        <v>5</v>
      </c>
      <c r="D15" s="30">
        <f>'Raw Data'!D15</f>
        <v>6</v>
      </c>
      <c r="E15" s="30">
        <f t="shared" si="1"/>
        <v>51</v>
      </c>
      <c r="G15" s="15" t="s">
        <v>61</v>
      </c>
      <c r="H15" s="51">
        <f>H10/H14</f>
        <v>-16.127793783580074</v>
      </c>
      <c r="J15" s="100"/>
      <c r="K15" s="100"/>
      <c r="L15" s="100"/>
      <c r="M15" s="100"/>
      <c r="N15" s="100"/>
    </row>
    <row r="16" spans="1:18" ht="15.75" customHeight="1">
      <c r="A16">
        <f>'Raw Data'!A16</f>
        <v>12</v>
      </c>
      <c r="B16" s="30">
        <f>'Raw Data'!C16</f>
        <v>66.680000000000007</v>
      </c>
      <c r="C16" s="30">
        <f t="shared" si="0"/>
        <v>18</v>
      </c>
      <c r="D16" s="30">
        <f>'Raw Data'!D16</f>
        <v>20</v>
      </c>
      <c r="E16" s="30">
        <f t="shared" si="1"/>
        <v>34</v>
      </c>
      <c r="G16" s="15" t="s">
        <v>62</v>
      </c>
      <c r="H16" s="30">
        <f>B59-1-1</f>
        <v>50</v>
      </c>
      <c r="I16" s="5" t="s">
        <v>63</v>
      </c>
      <c r="J16" s="100"/>
      <c r="K16" s="100"/>
      <c r="L16" s="100"/>
      <c r="M16" s="100"/>
      <c r="N16" s="100"/>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19"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100"/>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2" t="s">
        <v>86</v>
      </c>
      <c r="H29" s="100"/>
      <c r="I29" s="100"/>
      <c r="J29" s="100"/>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07" t="s">
        <v>89</v>
      </c>
      <c r="I31" s="108"/>
      <c r="J31" s="109"/>
    </row>
    <row r="32" spans="1:15" ht="15.75" customHeight="1">
      <c r="A32">
        <f>'Raw Data'!A32</f>
        <v>28</v>
      </c>
      <c r="B32" s="30">
        <f>'Raw Data'!C32</f>
        <v>63.04</v>
      </c>
      <c r="C32" s="30">
        <f t="shared" si="0"/>
        <v>19</v>
      </c>
      <c r="D32" s="30">
        <f>'Raw Data'!D32</f>
        <v>21</v>
      </c>
      <c r="E32" s="30">
        <f t="shared" si="1"/>
        <v>32</v>
      </c>
      <c r="G32" s="115" t="s">
        <v>90</v>
      </c>
      <c r="H32" s="110"/>
      <c r="I32" s="100"/>
      <c r="J32" s="111"/>
    </row>
    <row r="33" spans="1:10" ht="15.75" customHeight="1">
      <c r="A33">
        <f>'Raw Data'!A33</f>
        <v>29</v>
      </c>
      <c r="B33" s="30">
        <f>'Raw Data'!C33</f>
        <v>63.03</v>
      </c>
      <c r="C33" s="30">
        <f t="shared" si="0"/>
        <v>20</v>
      </c>
      <c r="D33" s="30">
        <f>'Raw Data'!D33</f>
        <v>22</v>
      </c>
      <c r="E33" s="30">
        <f t="shared" si="1"/>
        <v>29</v>
      </c>
      <c r="G33" s="100"/>
      <c r="H33" s="110"/>
      <c r="I33" s="100"/>
      <c r="J33" s="111"/>
    </row>
    <row r="34" spans="1:10" ht="15.75" customHeight="1">
      <c r="A34">
        <f>'Raw Data'!A34</f>
        <v>30</v>
      </c>
      <c r="B34" s="30">
        <f>'Raw Data'!C34</f>
        <v>84.66</v>
      </c>
      <c r="C34" s="30">
        <f t="shared" si="0"/>
        <v>8</v>
      </c>
      <c r="D34" s="30">
        <f>'Raw Data'!D34</f>
        <v>16</v>
      </c>
      <c r="E34" s="30">
        <f t="shared" si="1"/>
        <v>38</v>
      </c>
      <c r="G34" s="100"/>
      <c r="H34" s="110"/>
      <c r="I34" s="100"/>
      <c r="J34" s="111"/>
    </row>
    <row r="35" spans="1:10" ht="15.75" customHeight="1">
      <c r="A35">
        <f>'Raw Data'!A35</f>
        <v>31</v>
      </c>
      <c r="B35" s="30">
        <f>'Raw Data'!C35</f>
        <v>51.54</v>
      </c>
      <c r="C35" s="30">
        <f t="shared" si="0"/>
        <v>37</v>
      </c>
      <c r="D35" s="30">
        <f>'Raw Data'!D35</f>
        <v>23</v>
      </c>
      <c r="E35" s="30">
        <f t="shared" si="1"/>
        <v>28</v>
      </c>
      <c r="G35" s="100"/>
      <c r="H35" s="110"/>
      <c r="I35" s="100"/>
      <c r="J35" s="111"/>
    </row>
    <row r="36" spans="1:10" ht="15.75" customHeight="1">
      <c r="A36">
        <f>'Raw Data'!A36</f>
        <v>32</v>
      </c>
      <c r="B36" s="30">
        <f>'Raw Data'!C36</f>
        <v>46.93</v>
      </c>
      <c r="C36" s="30">
        <f t="shared" si="0"/>
        <v>41</v>
      </c>
      <c r="D36" s="30">
        <f>'Raw Data'!D36</f>
        <v>31</v>
      </c>
      <c r="E36" s="30">
        <f t="shared" si="1"/>
        <v>6</v>
      </c>
      <c r="H36" s="110"/>
      <c r="I36" s="100"/>
      <c r="J36" s="111"/>
    </row>
    <row r="37" spans="1:10" ht="15.75" customHeight="1">
      <c r="A37">
        <f>'Raw Data'!A37</f>
        <v>33</v>
      </c>
      <c r="B37" s="30">
        <f>'Raw Data'!C37</f>
        <v>51.55</v>
      </c>
      <c r="C37" s="30">
        <f t="shared" si="0"/>
        <v>36</v>
      </c>
      <c r="D37" s="30">
        <f>'Raw Data'!D37</f>
        <v>20</v>
      </c>
      <c r="E37" s="30">
        <f t="shared" si="1"/>
        <v>34</v>
      </c>
      <c r="H37" s="112"/>
      <c r="I37" s="113"/>
      <c r="J37" s="114"/>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8"/>
  <sheetViews>
    <sheetView workbookViewId="0">
      <selection activeCell="A9" sqref="A9"/>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17" t="s">
        <v>92</v>
      </c>
      <c r="B1" s="100"/>
      <c r="C1" s="100"/>
    </row>
    <row r="2" spans="1:10" ht="15.75" customHeight="1">
      <c r="A2" s="45"/>
    </row>
    <row r="3" spans="1:10" ht="15.75" customHeight="1">
      <c r="B3" s="43" t="s">
        <v>93</v>
      </c>
    </row>
    <row r="4" spans="1:10" ht="15.75" customHeight="1">
      <c r="A4" s="15" t="s">
        <v>94</v>
      </c>
      <c r="B4" s="56" t="s">
        <v>95</v>
      </c>
      <c r="C4" s="68" t="s">
        <v>96</v>
      </c>
      <c r="D4" s="122" t="s">
        <v>97</v>
      </c>
      <c r="E4" s="97"/>
      <c r="F4" s="97"/>
      <c r="G4" s="97"/>
      <c r="H4" s="98"/>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2" t="str">
        <f>D4</f>
        <v>quality difference between solo and pair programmers.</v>
      </c>
      <c r="E8" s="97"/>
      <c r="F8" s="97"/>
      <c r="G8" s="97"/>
      <c r="H8" s="98"/>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5" t="s">
        <v>107</v>
      </c>
      <c r="E13" s="100"/>
      <c r="F13" s="100"/>
      <c r="G13" s="100"/>
      <c r="H13" s="100"/>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3" t="s">
        <v>113</v>
      </c>
      <c r="E16" s="97"/>
      <c r="F16" s="97"/>
      <c r="G16" s="97"/>
      <c r="H16" s="98"/>
      <c r="I16" s="105" t="s">
        <v>112</v>
      </c>
      <c r="J16" s="98"/>
    </row>
    <row r="17" spans="1:5" ht="15.75" customHeight="1">
      <c r="A17" s="15"/>
      <c r="B17" s="5"/>
    </row>
    <row r="18" spans="1:5" ht="15.75" customHeight="1">
      <c r="A18" s="15" t="s">
        <v>114</v>
      </c>
      <c r="B18" s="120" t="s">
        <v>115</v>
      </c>
      <c r="C18" s="98"/>
    </row>
    <row r="19" spans="1:5" ht="15.75" customHeight="1">
      <c r="A19" s="15" t="s">
        <v>116</v>
      </c>
      <c r="B19" s="124">
        <f>TTEST('Data Transformation'!C4:C29, 'Data Transformation'!F4:F29, 2, 2)</f>
        <v>0.86409838706386388</v>
      </c>
      <c r="C19" s="98"/>
      <c r="E19" s="13"/>
    </row>
    <row r="20" spans="1:5" ht="15.75" customHeight="1">
      <c r="A20" s="15" t="s">
        <v>65</v>
      </c>
      <c r="B20" s="104">
        <v>0.05</v>
      </c>
      <c r="C20" s="98"/>
    </row>
    <row r="21" spans="1:5" ht="15.75" customHeight="1">
      <c r="A21" s="15" t="s">
        <v>117</v>
      </c>
      <c r="B21" s="120" t="s">
        <v>35</v>
      </c>
      <c r="C21" s="98"/>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ht="15">
      <c r="A27" s="45"/>
      <c r="E27" s="77"/>
    </row>
    <row r="28" spans="1:5" ht="15">
      <c r="A28" s="15" t="s">
        <v>123</v>
      </c>
      <c r="B28" s="78">
        <f>1-B19</f>
        <v>0.13590161293613612</v>
      </c>
      <c r="C28" s="125" t="s">
        <v>124</v>
      </c>
      <c r="D28" s="79" t="s">
        <v>125</v>
      </c>
    </row>
    <row r="29" spans="1:5" ht="15.75" customHeight="1">
      <c r="A29" s="15" t="s">
        <v>62</v>
      </c>
      <c r="B29" s="30">
        <f>'Data Transformation'!C31+'Data Transformation'!F31-2</f>
        <v>50</v>
      </c>
      <c r="C29" s="100"/>
      <c r="D29" s="5" t="s">
        <v>126</v>
      </c>
    </row>
    <row r="30" spans="1:5" ht="15.75" customHeight="1">
      <c r="A30" s="15" t="s">
        <v>127</v>
      </c>
      <c r="B30" s="51">
        <f>TINV(B19,B29)</f>
        <v>0.17204274843003223</v>
      </c>
      <c r="C30" s="100"/>
      <c r="D30" s="5" t="s">
        <v>128</v>
      </c>
    </row>
    <row r="31" spans="1:5" ht="15.75" customHeight="1">
      <c r="A31" s="15" t="s">
        <v>71</v>
      </c>
      <c r="B31" s="51">
        <f>B23-'Data Transformation'!C42*B30</f>
        <v>2.9154700840650083E-3</v>
      </c>
      <c r="C31" s="100"/>
    </row>
    <row r="32" spans="1:5" ht="15.75" customHeight="1">
      <c r="A32" s="15" t="s">
        <v>72</v>
      </c>
      <c r="B32" s="32">
        <f>B23+'Data Transformation'!C42*B30</f>
        <v>1.997084529915935</v>
      </c>
      <c r="C32" s="100"/>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6" t="s">
        <v>131</v>
      </c>
      <c r="B36" s="113"/>
      <c r="C36" s="113"/>
      <c r="D36" s="83">
        <f>B31</f>
        <v>2.9154700840650083E-3</v>
      </c>
      <c r="E36" s="84" t="s">
        <v>82</v>
      </c>
      <c r="F36" s="85">
        <f>B32</f>
        <v>1.997084529915935</v>
      </c>
      <c r="G36" s="86" t="s">
        <v>132</v>
      </c>
    </row>
    <row r="38" spans="1:7" ht="15.75" customHeight="1">
      <c r="A38" s="65" t="s">
        <v>88</v>
      </c>
      <c r="B38" s="121" t="s">
        <v>133</v>
      </c>
      <c r="C38" s="108"/>
      <c r="D38" s="109"/>
    </row>
    <row r="39" spans="1:7" ht="15.75" customHeight="1">
      <c r="B39" s="110"/>
      <c r="C39" s="100"/>
      <c r="D39" s="111"/>
    </row>
    <row r="40" spans="1:7" ht="15.75" customHeight="1">
      <c r="B40" s="110"/>
      <c r="C40" s="100"/>
      <c r="D40" s="111"/>
    </row>
    <row r="41" spans="1:7" ht="15.75" customHeight="1">
      <c r="B41" s="110"/>
      <c r="C41" s="100"/>
      <c r="D41" s="111"/>
    </row>
    <row r="42" spans="1:7" ht="15.75" customHeight="1">
      <c r="B42" s="110"/>
      <c r="C42" s="100"/>
      <c r="D42" s="111"/>
    </row>
    <row r="43" spans="1:7" ht="15.75" customHeight="1">
      <c r="A43" s="45"/>
      <c r="B43" s="110"/>
      <c r="C43" s="100"/>
      <c r="D43" s="111"/>
    </row>
    <row r="44" spans="1:7" ht="15.75" customHeight="1">
      <c r="A44" s="45"/>
      <c r="B44" s="110"/>
      <c r="C44" s="100"/>
      <c r="D44" s="111"/>
    </row>
    <row r="45" spans="1:7" ht="15.75" customHeight="1">
      <c r="A45" s="45"/>
      <c r="B45" s="110"/>
      <c r="C45" s="100"/>
      <c r="D45" s="111"/>
    </row>
    <row r="46" spans="1:7" ht="15.75" customHeight="1">
      <c r="A46" s="45"/>
      <c r="B46" s="110"/>
      <c r="C46" s="100"/>
      <c r="D46" s="111"/>
    </row>
    <row r="47" spans="1:7" ht="15.75" customHeight="1">
      <c r="A47" s="45"/>
      <c r="B47" s="110"/>
      <c r="C47" s="100"/>
      <c r="D47" s="111"/>
    </row>
    <row r="48" spans="1:7" ht="15.75" customHeight="1">
      <c r="A48" s="45"/>
      <c r="B48" s="110"/>
      <c r="C48" s="100"/>
      <c r="D48" s="111"/>
    </row>
    <row r="49" spans="1:4" ht="15.75" customHeight="1">
      <c r="A49" s="45"/>
      <c r="B49" s="110"/>
      <c r="C49" s="100"/>
      <c r="D49" s="111"/>
    </row>
    <row r="50" spans="1:4" ht="15.75" customHeight="1">
      <c r="A50" s="45"/>
      <c r="B50" s="112"/>
      <c r="C50" s="113"/>
      <c r="D50" s="114"/>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2020-11-26T21:21:12Z</dcterms:modified>
</cp:coreProperties>
</file>