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omments7.xml" ContentType="application/vnd.openxmlformats-officedocument.spreadsheetml.comments+xml"/>
  <Override PartName="/xl/comments8.xml" ContentType="application/vnd.openxmlformats-officedocument.spreadsheetml.comments+xml"/>
  <Override PartName="/xl/drawings/drawing2.xml" ContentType="application/vnd.openxmlformats-officedocument.drawing+xml"/>
  <Override PartName="/xl/comments9.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3.xml" ContentType="application/vnd.openxmlformats-officedocument.drawing+xml"/>
  <Override PartName="/xl/comments10.xml" ContentType="application/vnd.openxmlformats-officedocument.spreadsheetml.comments+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drawings/drawing4.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5.xml" ContentType="application/vnd.openxmlformats-officedocument.drawing+xml"/>
  <Override PartName="/xl/charts/chart20.xml" ContentType="application/vnd.openxmlformats-officedocument.drawingml.chart+xml"/>
  <Override PartName="/xl/drawings/drawing6.xml" ContentType="application/vnd.openxmlformats-officedocument.drawing+xml"/>
  <Override PartName="/xl/activeX/activeX1.xml" ContentType="application/vnd.ms-office.activeX+xml"/>
  <Override PartName="/xl/activeX/activeX1.bin" ContentType="application/vnd.ms-office.activeX"/>
  <Override PartName="/xl/comments11.xml" ContentType="application/vnd.openxmlformats-officedocument.spreadsheetml.comments+xml"/>
  <Override PartName="/xl/drawings/drawing7.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drawings/drawing8.xml" ContentType="application/vnd.openxmlformats-officedocument.drawing+xml"/>
  <Override PartName="/xl/charts/chart23.xml" ContentType="application/vnd.openxmlformats-officedocument.drawingml.chart+xml"/>
  <Override PartName="/xl/charts/chart24.xml" ContentType="application/vnd.openxmlformats-officedocument.drawingml.chart+xml"/>
  <Override PartName="/xl/charts/style1.xml" ContentType="application/vnd.ms-office.chartstyle+xml"/>
  <Override PartName="/xl/charts/colors1.xml" ContentType="application/vnd.ms-office.chartcolorstyle+xml"/>
  <Override PartName="/xl/charts/chart25.xml" ContentType="application/vnd.openxmlformats-officedocument.drawingml.chart+xml"/>
  <Override PartName="/xl/charts/style2.xml" ContentType="application/vnd.ms-office.chartstyle+xml"/>
  <Override PartName="/xl/charts/colors2.xml" ContentType="application/vnd.ms-office.chartcolorstyle+xml"/>
  <Override PartName="/xl/drawings/drawing9.xml" ContentType="application/vnd.openxmlformats-officedocument.drawing+xml"/>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activeX/activeX8.xml" ContentType="application/vnd.ms-office.activeX+xml"/>
  <Override PartName="/xl/activeX/activeX8.bin" ContentType="application/vnd.ms-office.activeX"/>
  <Override PartName="/xl/activeX/activeX9.xml" ContentType="application/vnd.ms-office.activeX+xml"/>
  <Override PartName="/xl/activeX/activeX9.bin" ContentType="application/vnd.ms-office.activeX"/>
  <Override PartName="/xl/activeX/activeX10.xml" ContentType="application/vnd.ms-office.activeX+xml"/>
  <Override PartName="/xl/activeX/activeX10.bin" ContentType="application/vnd.ms-office.activeX"/>
  <Override PartName="/xl/activeX/activeX11.xml" ContentType="application/vnd.ms-office.activeX+xml"/>
  <Override PartName="/xl/activeX/activeX11.bin" ContentType="application/vnd.ms-office.activeX"/>
  <Override PartName="/xl/activeX/activeX12.xml" ContentType="application/vnd.ms-office.activeX+xml"/>
  <Override PartName="/xl/activeX/activeX12.bin" ContentType="application/vnd.ms-office.activeX"/>
  <Override PartName="/xl/activeX/activeX13.xml" ContentType="application/vnd.ms-office.activeX+xml"/>
  <Override PartName="/xl/activeX/activeX13.bin" ContentType="application/vnd.ms-office.activeX"/>
  <Override PartName="/xl/charts/chart26.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431"/>
  <workbookPr codeName="ThisWorkbook" defaultThemeVersion="124226"/>
  <mc:AlternateContent xmlns:mc="http://schemas.openxmlformats.org/markup-compatibility/2006">
    <mc:Choice Requires="x15">
      <x15ac:absPath xmlns:x15ac="http://schemas.microsoft.com/office/spreadsheetml/2010/11/ac" url="C:\0_PERSONAL_DATA\00_NEW_BEGININGS\0_INVESTING_ETFs_SECURITY_ANALYSIS\0_TRADING_PERFORMANCE\"/>
    </mc:Choice>
  </mc:AlternateContent>
  <bookViews>
    <workbookView xWindow="240" yWindow="4940" windowWidth="20120" windowHeight="3140" activeTab="3" xr2:uid="{00000000-000D-0000-FFFF-FFFF00000000}"/>
  </bookViews>
  <sheets>
    <sheet name="Portofolio" sheetId="26" r:id="rId1"/>
    <sheet name="CostBasis" sheetId="18" r:id="rId2"/>
    <sheet name="OptionsPerformance" sheetId="3" r:id="rId3"/>
    <sheet name="OptionPremiumIncome_1" sheetId="4" r:id="rId4"/>
    <sheet name="Earnings&amp;Dividends" sheetId="22" r:id="rId5"/>
    <sheet name="BlackScholesModel" sheetId="5" r:id="rId6"/>
    <sheet name="OptionPremiumIncome_2_IRA" sheetId="11" r:id="rId7"/>
    <sheet name="OptionPremiumIncome_3_401K" sheetId="23" r:id="rId8"/>
    <sheet name="Earnings&amp;Dividends2016Q3" sheetId="20" r:id="rId9"/>
    <sheet name="VerticalSpread" sheetId="19" r:id="rId10"/>
    <sheet name="OptionSwapData" sheetId="16" r:id="rId11"/>
    <sheet name="OptionSwap" sheetId="15" r:id="rId12"/>
    <sheet name="NewCostBasis" sheetId="6" r:id="rId13"/>
    <sheet name="TimeValue_0" sheetId="12" r:id="rId14"/>
    <sheet name="TimeValue_1" sheetId="14" r:id="rId15"/>
    <sheet name="TimeValue_2" sheetId="13" r:id="rId16"/>
    <sheet name="TaxBracket" sheetId="9" r:id="rId17"/>
    <sheet name="CapitalGains" sheetId="8" r:id="rId18"/>
    <sheet name="TaxRate" sheetId="7" r:id="rId19"/>
    <sheet name="ScratchWork --&gt;" sheetId="24" r:id="rId20"/>
    <sheet name="ROI vs Time" sheetId="10" r:id="rId21"/>
    <sheet name="AAPL_Swap_Premium_vs_Time" sheetId="21" r:id="rId22"/>
    <sheet name="VZ_Premium_vs_Time" sheetId="17" r:id="rId23"/>
    <sheet name="OptionSentiment" sheetId="25" r:id="rId24"/>
  </sheets>
  <definedNames>
    <definedName name="_xlnm._FilterDatabase" localSheetId="4" hidden="1">'Earnings&amp;Dividends'!$A$4:$H$92</definedName>
    <definedName name="_xlnm._FilterDatabase" localSheetId="8" hidden="1">'Earnings&amp;Dividends2016Q3'!$B$3:$H$31</definedName>
    <definedName name="_xlnm._FilterDatabase" localSheetId="23" hidden="1">OptionSentiment!$C$1:$J$179</definedName>
    <definedName name="_xlnm._FilterDatabase" localSheetId="10" hidden="1">OptionSwapData!$C$16:$O$700</definedName>
    <definedName name="_xlnm._FilterDatabase" localSheetId="13" hidden="1">TimeValue_0!$A$18:$T$312</definedName>
    <definedName name="_xlnm._FilterDatabase" localSheetId="14" hidden="1">TimeValue_1!$A$6:$H$26</definedName>
    <definedName name="_xlnm._FilterDatabase" localSheetId="15" hidden="1">TimeValue_2!$A$3:$H$23</definedName>
    <definedName name="solver_adj" localSheetId="11" hidden="1">OptionSwap!$H$5</definedName>
    <definedName name="solver_cvg" localSheetId="11" hidden="1">0.0001</definedName>
    <definedName name="solver_drv" localSheetId="11" hidden="1">2</definedName>
    <definedName name="solver_eng" localSheetId="11" hidden="1">1</definedName>
    <definedName name="solver_eng" localSheetId="10" hidden="1">1</definedName>
    <definedName name="solver_est" localSheetId="11" hidden="1">1</definedName>
    <definedName name="solver_itr" localSheetId="11" hidden="1">2147483647</definedName>
    <definedName name="solver_lhs1" localSheetId="11" hidden="1">OptionSwap!$H$5</definedName>
    <definedName name="solver_mip" localSheetId="11" hidden="1">2147483647</definedName>
    <definedName name="solver_mni" localSheetId="11" hidden="1">30</definedName>
    <definedName name="solver_mrt" localSheetId="11" hidden="1">0.075</definedName>
    <definedName name="solver_msl" localSheetId="11" hidden="1">2</definedName>
    <definedName name="solver_neg" localSheetId="11" hidden="1">1</definedName>
    <definedName name="solver_neg" localSheetId="10" hidden="1">1</definedName>
    <definedName name="solver_nod" localSheetId="11" hidden="1">2147483647</definedName>
    <definedName name="solver_num" localSheetId="11" hidden="1">1</definedName>
    <definedName name="solver_num" localSheetId="10" hidden="1">0</definedName>
    <definedName name="solver_nwt" localSheetId="11" hidden="1">1</definedName>
    <definedName name="solver_opt" localSheetId="11" hidden="1">OptionSwap!$K$13</definedName>
    <definedName name="solver_opt" localSheetId="10" hidden="1">OptionSwapData!$K$93</definedName>
    <definedName name="solver_pre" localSheetId="11" hidden="1">0.00001</definedName>
    <definedName name="solver_rbv" localSheetId="11" hidden="1">1</definedName>
    <definedName name="solver_rel1" localSheetId="11" hidden="1">3</definedName>
    <definedName name="solver_rhs1" localSheetId="11" hidden="1">0.001</definedName>
    <definedName name="solver_rlx" localSheetId="11" hidden="1">2</definedName>
    <definedName name="solver_rsd" localSheetId="11" hidden="1">0</definedName>
    <definedName name="solver_scl" localSheetId="11" hidden="1">1</definedName>
    <definedName name="solver_sho" localSheetId="11" hidden="1">2</definedName>
    <definedName name="solver_ssz" localSheetId="11" hidden="1">100</definedName>
    <definedName name="solver_tim" localSheetId="11" hidden="1">2147483647</definedName>
    <definedName name="solver_tol" localSheetId="11" hidden="1">0.01</definedName>
    <definedName name="solver_typ" localSheetId="11" hidden="1">2</definedName>
    <definedName name="solver_typ" localSheetId="10" hidden="1">2</definedName>
    <definedName name="solver_val" localSheetId="11" hidden="1">0</definedName>
    <definedName name="solver_val" localSheetId="10" hidden="1">0</definedName>
    <definedName name="solver_ver" localSheetId="11" hidden="1">3</definedName>
    <definedName name="solver_ver" localSheetId="10" hidden="1">3</definedName>
  </definedNames>
  <calcPr calcId="171027"/>
</workbook>
</file>

<file path=xl/calcChain.xml><?xml version="1.0" encoding="utf-8"?>
<calcChain xmlns="http://schemas.openxmlformats.org/spreadsheetml/2006/main">
  <c r="O135" i="3" l="1"/>
  <c r="P135" i="3"/>
  <c r="Q135" i="3"/>
  <c r="R135" i="3"/>
  <c r="S135" i="3"/>
  <c r="M135" i="3"/>
  <c r="F135" i="3"/>
  <c r="H135" i="3"/>
  <c r="BD36" i="4" l="1"/>
  <c r="BD35" i="4"/>
  <c r="BD37" i="4" s="1"/>
  <c r="BD38" i="4" s="1"/>
  <c r="BD31" i="4"/>
  <c r="BD30" i="4"/>
  <c r="BD29" i="4"/>
  <c r="BD28" i="4"/>
  <c r="H134" i="3"/>
  <c r="O134" i="3"/>
  <c r="C27" i="18"/>
  <c r="D27" i="18"/>
  <c r="E27" i="18"/>
  <c r="F27" i="18"/>
  <c r="G27" i="18"/>
  <c r="I27" i="18"/>
  <c r="P27" i="18"/>
  <c r="Q27" i="18"/>
  <c r="L27" i="18"/>
  <c r="M27" i="18"/>
  <c r="BD32" i="4" l="1"/>
  <c r="BD33" i="4" s="1"/>
  <c r="BD41" i="4"/>
  <c r="BD39" i="4"/>
  <c r="BD40" i="4" s="1"/>
  <c r="E93" i="4"/>
  <c r="E92" i="4"/>
  <c r="E91" i="4"/>
  <c r="E90" i="4"/>
  <c r="F93" i="4"/>
  <c r="F92" i="4"/>
  <c r="F91" i="4"/>
  <c r="F90" i="4"/>
  <c r="BC36" i="4"/>
  <c r="BC35" i="4"/>
  <c r="BC37" i="4" s="1"/>
  <c r="BC38" i="4" s="1"/>
  <c r="BC31" i="4"/>
  <c r="BC30" i="4"/>
  <c r="BC29" i="4"/>
  <c r="BC28" i="4"/>
  <c r="P134" i="3"/>
  <c r="R134" i="3"/>
  <c r="F134" i="3"/>
  <c r="S134" i="3" s="1"/>
  <c r="Q134" i="3" l="1"/>
  <c r="E94" i="4"/>
  <c r="F94" i="4"/>
  <c r="BC32" i="4"/>
  <c r="BC33" i="4" s="1"/>
  <c r="BC41" i="4"/>
  <c r="BC39" i="4"/>
  <c r="BC40" i="4" s="1"/>
  <c r="O133" i="3"/>
  <c r="H133" i="3"/>
  <c r="H44" i="22"/>
  <c r="H6" i="22"/>
  <c r="H68" i="22"/>
  <c r="D43" i="22"/>
  <c r="E43" i="22"/>
  <c r="D6" i="22"/>
  <c r="E6" i="22"/>
  <c r="D68" i="22"/>
  <c r="E68" i="22"/>
  <c r="H93" i="4" l="1"/>
  <c r="H92" i="4"/>
  <c r="H91" i="4"/>
  <c r="H90" i="4"/>
  <c r="G93" i="4"/>
  <c r="G92" i="4"/>
  <c r="G91" i="4"/>
  <c r="G90" i="4"/>
  <c r="I93" i="4"/>
  <c r="I92" i="4"/>
  <c r="I91" i="4"/>
  <c r="I90" i="4"/>
  <c r="F133" i="3"/>
  <c r="O132" i="3"/>
  <c r="H132" i="3"/>
  <c r="H94" i="4" l="1"/>
  <c r="G94" i="4"/>
  <c r="I94" i="4"/>
  <c r="J93" i="4" l="1"/>
  <c r="J92" i="4"/>
  <c r="J91" i="4"/>
  <c r="J90" i="4"/>
  <c r="H39" i="22"/>
  <c r="H10" i="22"/>
  <c r="H12" i="22"/>
  <c r="H11" i="22"/>
  <c r="H13" i="22"/>
  <c r="H14" i="22"/>
  <c r="H15" i="22"/>
  <c r="H16" i="22"/>
  <c r="H25" i="22"/>
  <c r="H52" i="22"/>
  <c r="H24" i="22"/>
  <c r="H19" i="22"/>
  <c r="H17" i="22"/>
  <c r="H31" i="22"/>
  <c r="H20" i="22"/>
  <c r="H21" i="22"/>
  <c r="H45" i="22"/>
  <c r="H26" i="22"/>
  <c r="H9" i="22"/>
  <c r="H27" i="22"/>
  <c r="H22" i="22"/>
  <c r="H32" i="22"/>
  <c r="H35" i="22"/>
  <c r="H28" i="22"/>
  <c r="H29" i="22"/>
  <c r="H30" i="22"/>
  <c r="H46" i="22"/>
  <c r="H70" i="22"/>
  <c r="H59" i="22"/>
  <c r="H5" i="22"/>
  <c r="H36" i="22"/>
  <c r="H33" i="22"/>
  <c r="H18" i="22"/>
  <c r="H40" i="22"/>
  <c r="H34" i="22"/>
  <c r="H53" i="22"/>
  <c r="H41" i="22"/>
  <c r="H42" i="22"/>
  <c r="H63" i="22"/>
  <c r="H47" i="22"/>
  <c r="H60" i="22"/>
  <c r="H48" i="22"/>
  <c r="H43" i="22"/>
  <c r="H49" i="22"/>
  <c r="H23" i="22"/>
  <c r="H67" i="22"/>
  <c r="H54" i="22"/>
  <c r="H56" i="22"/>
  <c r="H64" i="22"/>
  <c r="H55" i="22"/>
  <c r="H61" i="22"/>
  <c r="H50" i="22"/>
  <c r="H37" i="22"/>
  <c r="H51" i="22"/>
  <c r="H62" i="22"/>
  <c r="H57" i="22"/>
  <c r="H69" i="22"/>
  <c r="H65" i="22"/>
  <c r="H66" i="22"/>
  <c r="H73" i="22"/>
  <c r="H72" i="22"/>
  <c r="H74" i="22"/>
  <c r="H75" i="22"/>
  <c r="H76" i="22"/>
  <c r="H77" i="22"/>
  <c r="H78" i="22"/>
  <c r="H79" i="22"/>
  <c r="H58" i="22"/>
  <c r="H81" i="22"/>
  <c r="H80" i="22"/>
  <c r="H71" i="22"/>
  <c r="H83" i="22"/>
  <c r="H88" i="22"/>
  <c r="H38" i="22"/>
  <c r="H86" i="22"/>
  <c r="H7" i="22"/>
  <c r="H82" i="22"/>
  <c r="H84" i="22"/>
  <c r="H90" i="22"/>
  <c r="H85" i="22"/>
  <c r="H89" i="22"/>
  <c r="H92" i="22"/>
  <c r="H91" i="22"/>
  <c r="H87" i="22"/>
  <c r="H8" i="22"/>
  <c r="K93" i="4"/>
  <c r="K92" i="4"/>
  <c r="K91" i="4"/>
  <c r="K90" i="4"/>
  <c r="L93" i="4"/>
  <c r="L94" i="4" s="1"/>
  <c r="L92" i="4"/>
  <c r="L91" i="4"/>
  <c r="L90" i="4"/>
  <c r="N93" i="4"/>
  <c r="N92" i="4"/>
  <c r="N91" i="4"/>
  <c r="N90" i="4"/>
  <c r="J94" i="4" l="1"/>
  <c r="K94" i="4"/>
  <c r="N94" i="4"/>
  <c r="BB36" i="4"/>
  <c r="BB35" i="4"/>
  <c r="BB39" i="4" s="1"/>
  <c r="BB31" i="4"/>
  <c r="BB30" i="4"/>
  <c r="BB29" i="4"/>
  <c r="BB28" i="4"/>
  <c r="F132" i="3"/>
  <c r="M54" i="4"/>
  <c r="M55" i="4"/>
  <c r="M56" i="4" s="1"/>
  <c r="M57" i="4" s="1"/>
  <c r="BA36" i="4"/>
  <c r="BA35" i="4"/>
  <c r="BA39" i="4" s="1"/>
  <c r="BA31" i="4"/>
  <c r="BA30" i="4"/>
  <c r="BA29" i="4"/>
  <c r="BA28" i="4"/>
  <c r="M58" i="4" l="1"/>
  <c r="M59" i="4" s="1"/>
  <c r="BA37" i="4"/>
  <c r="BA38" i="4" s="1"/>
  <c r="BB37" i="4"/>
  <c r="BB41" i="4" s="1"/>
  <c r="BB32" i="4"/>
  <c r="BB33" i="4" s="1"/>
  <c r="BA32" i="4"/>
  <c r="BA33" i="4" s="1"/>
  <c r="BA40" i="4"/>
  <c r="B138" i="3"/>
  <c r="C138" i="3"/>
  <c r="D138" i="3"/>
  <c r="B139" i="3"/>
  <c r="C139" i="3"/>
  <c r="D139" i="3"/>
  <c r="B140" i="3"/>
  <c r="C140" i="3"/>
  <c r="D140" i="3"/>
  <c r="B141" i="3"/>
  <c r="C141" i="3"/>
  <c r="D141" i="3"/>
  <c r="B142" i="3"/>
  <c r="C142" i="3"/>
  <c r="D142" i="3"/>
  <c r="B143" i="3"/>
  <c r="C143" i="3"/>
  <c r="D143" i="3"/>
  <c r="B144" i="3"/>
  <c r="C144" i="3"/>
  <c r="D144" i="3"/>
  <c r="B145" i="3"/>
  <c r="C145" i="3"/>
  <c r="D145" i="3"/>
  <c r="B132" i="3"/>
  <c r="C132" i="3"/>
  <c r="D132" i="3"/>
  <c r="B133" i="3"/>
  <c r="C133" i="3"/>
  <c r="D133" i="3"/>
  <c r="B134" i="3"/>
  <c r="C134" i="3"/>
  <c r="D134" i="3"/>
  <c r="B135" i="3"/>
  <c r="C135" i="3"/>
  <c r="D135" i="3"/>
  <c r="B136" i="3"/>
  <c r="C136" i="3"/>
  <c r="D136" i="3"/>
  <c r="B137" i="3"/>
  <c r="C137" i="3"/>
  <c r="D137" i="3"/>
  <c r="H131" i="3"/>
  <c r="O131" i="3"/>
  <c r="O93" i="4"/>
  <c r="O92" i="4"/>
  <c r="O91" i="4"/>
  <c r="O90" i="4"/>
  <c r="P93" i="4"/>
  <c r="P92" i="4"/>
  <c r="P91" i="4"/>
  <c r="P90" i="4"/>
  <c r="Q93" i="4"/>
  <c r="Q92" i="4"/>
  <c r="Q91" i="4"/>
  <c r="Q90" i="4"/>
  <c r="R93" i="4"/>
  <c r="R92" i="4"/>
  <c r="R91" i="4"/>
  <c r="R90" i="4"/>
  <c r="BA41" i="4" l="1"/>
  <c r="R94" i="4"/>
  <c r="BB38" i="4"/>
  <c r="BB40" i="4" s="1"/>
  <c r="O94" i="4"/>
  <c r="P94" i="4"/>
  <c r="Q94" i="4"/>
  <c r="M93" i="4" l="1"/>
  <c r="M92" i="4"/>
  <c r="M91" i="4"/>
  <c r="M90" i="4"/>
  <c r="M94" i="4" l="1"/>
  <c r="F131" i="3" l="1"/>
  <c r="D131" i="3" s="1"/>
  <c r="B131" i="3"/>
  <c r="C131" i="3"/>
  <c r="E54" i="4"/>
  <c r="E55" i="4"/>
  <c r="E62" i="4"/>
  <c r="E66" i="4" s="1"/>
  <c r="E63" i="4"/>
  <c r="E64" i="4"/>
  <c r="E68" i="4"/>
  <c r="E69" i="4" s="1"/>
  <c r="Z69" i="4"/>
  <c r="Z68" i="4"/>
  <c r="Z63" i="4"/>
  <c r="Z62" i="4"/>
  <c r="Z66" i="4" s="1"/>
  <c r="Z55" i="4"/>
  <c r="Z56" i="4" s="1"/>
  <c r="Z57" i="4" s="1"/>
  <c r="Z54" i="4"/>
  <c r="E65" i="4" l="1"/>
  <c r="E70" i="4" s="1"/>
  <c r="E71" i="4" s="1"/>
  <c r="E72" i="4"/>
  <c r="E58" i="4"/>
  <c r="E59" i="4" s="1"/>
  <c r="E56" i="4"/>
  <c r="E57" i="4" s="1"/>
  <c r="Z58" i="4"/>
  <c r="Z59" i="4" s="1"/>
  <c r="Z64" i="4"/>
  <c r="Z65" i="4" s="1"/>
  <c r="Z67" i="4" s="1"/>
  <c r="Z72" i="4"/>
  <c r="O130" i="3"/>
  <c r="H130" i="3"/>
  <c r="F130" i="3" s="1"/>
  <c r="V93" i="4"/>
  <c r="V92" i="4"/>
  <c r="V91" i="4"/>
  <c r="V90" i="4"/>
  <c r="S93" i="4"/>
  <c r="S92" i="4"/>
  <c r="S91" i="4"/>
  <c r="S90" i="4"/>
  <c r="T93" i="4"/>
  <c r="T92" i="4"/>
  <c r="T91" i="4"/>
  <c r="T90" i="4"/>
  <c r="U93" i="4"/>
  <c r="U92" i="4"/>
  <c r="U91" i="4"/>
  <c r="U90" i="4"/>
  <c r="M20" i="18"/>
  <c r="L13" i="25"/>
  <c r="L11" i="25"/>
  <c r="L10" i="25"/>
  <c r="L8" i="25"/>
  <c r="L7" i="25"/>
  <c r="B130" i="3"/>
  <c r="C130" i="3"/>
  <c r="V94" i="4" l="1"/>
  <c r="E67" i="4"/>
  <c r="Z70" i="4"/>
  <c r="Z71" i="4" s="1"/>
  <c r="T94" i="4"/>
  <c r="S94" i="4"/>
  <c r="U94" i="4"/>
  <c r="D130" i="3"/>
  <c r="AZ36" i="4"/>
  <c r="AZ35" i="4"/>
  <c r="AZ39" i="4" s="1"/>
  <c r="AZ31" i="4"/>
  <c r="AZ30" i="4"/>
  <c r="AZ29" i="4"/>
  <c r="AZ28" i="4"/>
  <c r="W93" i="4"/>
  <c r="W92" i="4"/>
  <c r="W91" i="4"/>
  <c r="W90" i="4"/>
  <c r="AZ37" i="4" l="1"/>
  <c r="AZ38" i="4" s="1"/>
  <c r="AZ40" i="4" s="1"/>
  <c r="AZ32" i="4"/>
  <c r="AZ33" i="4" s="1"/>
  <c r="W94" i="4"/>
  <c r="X93" i="4"/>
  <c r="X92" i="4"/>
  <c r="X91" i="4"/>
  <c r="X90" i="4"/>
  <c r="Y93" i="4"/>
  <c r="Y92" i="4"/>
  <c r="Y91" i="4"/>
  <c r="Y90" i="4"/>
  <c r="M19" i="18"/>
  <c r="H129" i="3"/>
  <c r="O129" i="3"/>
  <c r="AZ41" i="4" l="1"/>
  <c r="X94" i="4"/>
  <c r="Y94" i="4"/>
  <c r="Z93" i="4"/>
  <c r="Z92" i="4"/>
  <c r="Z91" i="4"/>
  <c r="Z90" i="4"/>
  <c r="AA93" i="4"/>
  <c r="AA92" i="4"/>
  <c r="AA91" i="4"/>
  <c r="AA90" i="4"/>
  <c r="AY36" i="4"/>
  <c r="AY35" i="4"/>
  <c r="AY37" i="4" s="1"/>
  <c r="AY38" i="4" s="1"/>
  <c r="AY31" i="4"/>
  <c r="AY30" i="4"/>
  <c r="AY29" i="4"/>
  <c r="AY28" i="4"/>
  <c r="Z94" i="4" l="1"/>
  <c r="AA94" i="4"/>
  <c r="AY32" i="4"/>
  <c r="AY33" i="4" s="1"/>
  <c r="AY41" i="4"/>
  <c r="AY39" i="4"/>
  <c r="AY40" i="4" s="1"/>
  <c r="B129" i="3"/>
  <c r="C129" i="3"/>
  <c r="F129" i="3"/>
  <c r="D129" i="3" s="1"/>
  <c r="O128" i="3" l="1"/>
  <c r="H128" i="3"/>
  <c r="AB93" i="4"/>
  <c r="AB92" i="4"/>
  <c r="AB91" i="4"/>
  <c r="AB90" i="4"/>
  <c r="AC93" i="4"/>
  <c r="AC92" i="4"/>
  <c r="AC91" i="4"/>
  <c r="AC90" i="4"/>
  <c r="AD93" i="4"/>
  <c r="AD92" i="4"/>
  <c r="AD91" i="4"/>
  <c r="AD90" i="4"/>
  <c r="D80" i="22"/>
  <c r="E80" i="22"/>
  <c r="D86" i="22"/>
  <c r="E86" i="22"/>
  <c r="D52" i="22"/>
  <c r="E52" i="22"/>
  <c r="J128" i="3"/>
  <c r="AD94" i="4" l="1"/>
  <c r="AB94" i="4"/>
  <c r="AC94" i="4"/>
  <c r="AE93" i="4" l="1"/>
  <c r="AE92" i="4"/>
  <c r="AE91" i="4"/>
  <c r="AE90" i="4"/>
  <c r="AF93" i="4"/>
  <c r="AF92" i="4"/>
  <c r="AF91" i="4"/>
  <c r="AF90" i="4"/>
  <c r="AF94" i="4" l="1"/>
  <c r="AE94" i="4"/>
  <c r="B128" i="3"/>
  <c r="C128" i="3"/>
  <c r="H127" i="3" l="1"/>
  <c r="AH93" i="4"/>
  <c r="AH92" i="4"/>
  <c r="AH91" i="4"/>
  <c r="AH90" i="4"/>
  <c r="AG93" i="4"/>
  <c r="AG92" i="4"/>
  <c r="AG91" i="4"/>
  <c r="AG90" i="4"/>
  <c r="F114" i="4"/>
  <c r="F115" i="4" s="1"/>
  <c r="F116" i="4" s="1"/>
  <c r="F113" i="4"/>
  <c r="F112" i="4"/>
  <c r="F111" i="4"/>
  <c r="L5" i="25"/>
  <c r="AH94" i="4" l="1"/>
  <c r="AG94" i="4"/>
  <c r="AI93" i="4"/>
  <c r="AI92" i="4"/>
  <c r="AI91" i="4"/>
  <c r="AI90" i="4"/>
  <c r="O127" i="3"/>
  <c r="AX36" i="4"/>
  <c r="AX35" i="4"/>
  <c r="AX37" i="4" s="1"/>
  <c r="AX38" i="4" s="1"/>
  <c r="AX31" i="4"/>
  <c r="AX30" i="4"/>
  <c r="AX29" i="4"/>
  <c r="AX28" i="4"/>
  <c r="AI94" i="4" l="1"/>
  <c r="AX32" i="4"/>
  <c r="AX33" i="4" s="1"/>
  <c r="AX41" i="4"/>
  <c r="AX39" i="4"/>
  <c r="AX40" i="4" s="1"/>
  <c r="AK93" i="4"/>
  <c r="AK92" i="4"/>
  <c r="AK91" i="4"/>
  <c r="AK90" i="4"/>
  <c r="AJ93" i="4"/>
  <c r="AJ92" i="4"/>
  <c r="AJ91" i="4"/>
  <c r="AJ90" i="4"/>
  <c r="H126" i="3"/>
  <c r="AK94" i="4" l="1"/>
  <c r="AJ94" i="4"/>
  <c r="O126" i="3"/>
  <c r="AL93" i="4"/>
  <c r="AL92" i="4"/>
  <c r="AL91" i="4"/>
  <c r="AL90" i="4"/>
  <c r="AM93" i="4"/>
  <c r="AM92" i="4"/>
  <c r="AM91" i="4"/>
  <c r="AM90" i="4"/>
  <c r="AN93" i="4"/>
  <c r="AN92" i="4"/>
  <c r="AN91" i="4"/>
  <c r="AN90" i="4"/>
  <c r="AO93" i="4"/>
  <c r="AO92" i="4"/>
  <c r="AO91" i="4"/>
  <c r="AO90" i="4"/>
  <c r="AQ93" i="4"/>
  <c r="AQ92" i="4"/>
  <c r="AQ91" i="4"/>
  <c r="AQ90" i="4"/>
  <c r="C25" i="18"/>
  <c r="I128" i="3"/>
  <c r="F128" i="3" s="1"/>
  <c r="D128" i="3" s="1"/>
  <c r="G78" i="22"/>
  <c r="AP93" i="4"/>
  <c r="AP92" i="4"/>
  <c r="AP91" i="4"/>
  <c r="AP90" i="4"/>
  <c r="B127" i="3"/>
  <c r="C127" i="3"/>
  <c r="AQ94" i="4" l="1"/>
  <c r="AL94" i="4"/>
  <c r="AM94" i="4"/>
  <c r="AN94" i="4"/>
  <c r="AO94" i="4"/>
  <c r="AP94" i="4"/>
  <c r="H199" i="25"/>
  <c r="C199" i="25"/>
  <c r="H198" i="25"/>
  <c r="C198" i="25"/>
  <c r="F196" i="25"/>
  <c r="E196" i="25"/>
  <c r="G195" i="25"/>
  <c r="F199" i="25" s="1"/>
  <c r="G194" i="25"/>
  <c r="E198" i="25" s="1"/>
  <c r="AW37" i="4"/>
  <c r="AW36" i="4"/>
  <c r="AW35" i="4"/>
  <c r="AW39" i="4" s="1"/>
  <c r="AW31" i="4"/>
  <c r="AW30" i="4"/>
  <c r="AW29" i="4"/>
  <c r="AW28" i="4"/>
  <c r="AR93" i="4"/>
  <c r="AR92" i="4"/>
  <c r="AR91" i="4"/>
  <c r="AR90" i="4"/>
  <c r="AS93" i="4"/>
  <c r="AS92" i="4"/>
  <c r="AS91" i="4"/>
  <c r="AS90" i="4"/>
  <c r="J126" i="3"/>
  <c r="D76" i="22"/>
  <c r="E76" i="22"/>
  <c r="AV36" i="4"/>
  <c r="AV35" i="4"/>
  <c r="AV37" i="4" s="1"/>
  <c r="AV31" i="4"/>
  <c r="AV30" i="4"/>
  <c r="AV29" i="4"/>
  <c r="AV28" i="4"/>
  <c r="AV32" i="4" l="1"/>
  <c r="AV33" i="4" s="1"/>
  <c r="AV38" i="4"/>
  <c r="AR94" i="4"/>
  <c r="F198" i="25"/>
  <c r="J198" i="25" s="1"/>
  <c r="G196" i="25"/>
  <c r="F197" i="25" s="1"/>
  <c r="I199" i="25"/>
  <c r="J199" i="25"/>
  <c r="E199" i="25"/>
  <c r="I198" i="25"/>
  <c r="AW38" i="4"/>
  <c r="AW40" i="4" s="1"/>
  <c r="AW32" i="4"/>
  <c r="AW33" i="4" s="1"/>
  <c r="AW41" i="4"/>
  <c r="AS94" i="4"/>
  <c r="AV41" i="4"/>
  <c r="AV39" i="4"/>
  <c r="AV40" i="4" s="1"/>
  <c r="F54" i="4"/>
  <c r="G54" i="4"/>
  <c r="G58" i="4" s="1"/>
  <c r="G59" i="4" s="1"/>
  <c r="H54" i="4"/>
  <c r="I54" i="4"/>
  <c r="J54" i="4"/>
  <c r="K54" i="4"/>
  <c r="L54" i="4"/>
  <c r="N54" i="4"/>
  <c r="O54" i="4"/>
  <c r="P54" i="4"/>
  <c r="P58" i="4" s="1"/>
  <c r="P59" i="4" s="1"/>
  <c r="Q54" i="4"/>
  <c r="Q58" i="4" s="1"/>
  <c r="Q59" i="4" s="1"/>
  <c r="R54" i="4"/>
  <c r="S54" i="4"/>
  <c r="T54" i="4"/>
  <c r="U54" i="4"/>
  <c r="U58" i="4" s="1"/>
  <c r="U59" i="4" s="1"/>
  <c r="V54" i="4"/>
  <c r="W54" i="4"/>
  <c r="X54" i="4"/>
  <c r="X58" i="4" s="1"/>
  <c r="X59" i="4" s="1"/>
  <c r="Y54" i="4"/>
  <c r="F55" i="4"/>
  <c r="F56" i="4" s="1"/>
  <c r="F57" i="4" s="1"/>
  <c r="G55" i="4"/>
  <c r="H55" i="4"/>
  <c r="H56" i="4" s="1"/>
  <c r="H57" i="4" s="1"/>
  <c r="I55" i="4"/>
  <c r="I58" i="4" s="1"/>
  <c r="I59" i="4" s="1"/>
  <c r="J55" i="4"/>
  <c r="J58" i="4" s="1"/>
  <c r="J59" i="4" s="1"/>
  <c r="K55" i="4"/>
  <c r="L55" i="4"/>
  <c r="L56" i="4" s="1"/>
  <c r="L57" i="4" s="1"/>
  <c r="N55" i="4"/>
  <c r="N56" i="4" s="1"/>
  <c r="N57" i="4" s="1"/>
  <c r="O55" i="4"/>
  <c r="O56" i="4" s="1"/>
  <c r="O57" i="4" s="1"/>
  <c r="P55" i="4"/>
  <c r="Q55" i="4"/>
  <c r="R55" i="4"/>
  <c r="R56" i="4" s="1"/>
  <c r="R57" i="4" s="1"/>
  <c r="S55" i="4"/>
  <c r="S56" i="4" s="1"/>
  <c r="S57" i="4" s="1"/>
  <c r="T55" i="4"/>
  <c r="U55" i="4"/>
  <c r="V55" i="4"/>
  <c r="V58" i="4" s="1"/>
  <c r="V59" i="4" s="1"/>
  <c r="W55" i="4"/>
  <c r="X55" i="4"/>
  <c r="Y55" i="4"/>
  <c r="Y56" i="4" s="1"/>
  <c r="Y57" i="4" s="1"/>
  <c r="G56" i="4"/>
  <c r="J56" i="4"/>
  <c r="K56" i="4"/>
  <c r="P56" i="4"/>
  <c r="Q56" i="4"/>
  <c r="U56" i="4"/>
  <c r="V56" i="4"/>
  <c r="W56" i="4"/>
  <c r="X56" i="4"/>
  <c r="G57" i="4"/>
  <c r="J57" i="4"/>
  <c r="K57" i="4"/>
  <c r="P57" i="4"/>
  <c r="Q57" i="4"/>
  <c r="U57" i="4"/>
  <c r="V57" i="4"/>
  <c r="W57" i="4"/>
  <c r="X57" i="4"/>
  <c r="H58" i="4"/>
  <c r="H59" i="4" s="1"/>
  <c r="K58" i="4"/>
  <c r="N58" i="4"/>
  <c r="N59" i="4" s="1"/>
  <c r="O58" i="4"/>
  <c r="O59" i="4" s="1"/>
  <c r="S58" i="4"/>
  <c r="S59" i="4" s="1"/>
  <c r="W58" i="4"/>
  <c r="W59" i="4" s="1"/>
  <c r="K59" i="4"/>
  <c r="E30" i="4"/>
  <c r="F30" i="4"/>
  <c r="G30" i="4"/>
  <c r="H30" i="4"/>
  <c r="I30" i="4"/>
  <c r="J30" i="4"/>
  <c r="K30" i="4"/>
  <c r="L30" i="4"/>
  <c r="M30" i="4"/>
  <c r="N30" i="4"/>
  <c r="O30" i="4"/>
  <c r="P30" i="4"/>
  <c r="Q30" i="4"/>
  <c r="R30" i="4"/>
  <c r="S30" i="4"/>
  <c r="T30" i="4"/>
  <c r="U30" i="4"/>
  <c r="V30" i="4"/>
  <c r="W30" i="4"/>
  <c r="X30" i="4"/>
  <c r="Y30" i="4"/>
  <c r="Z30" i="4"/>
  <c r="AA30" i="4"/>
  <c r="AB30" i="4"/>
  <c r="AC30" i="4"/>
  <c r="AD30" i="4"/>
  <c r="AE30" i="4"/>
  <c r="AF30" i="4"/>
  <c r="AG30" i="4"/>
  <c r="AH30" i="4"/>
  <c r="AI30" i="4"/>
  <c r="AJ30" i="4"/>
  <c r="AK30" i="4"/>
  <c r="AL30" i="4"/>
  <c r="AM30" i="4"/>
  <c r="AN30" i="4"/>
  <c r="AO30" i="4"/>
  <c r="AP30" i="4"/>
  <c r="AQ30" i="4"/>
  <c r="AR30" i="4"/>
  <c r="AS30" i="4"/>
  <c r="AT30" i="4"/>
  <c r="AU30" i="4"/>
  <c r="D30" i="4"/>
  <c r="D55" i="4"/>
  <c r="D56" i="4" s="1"/>
  <c r="D57" i="4" s="1"/>
  <c r="D54" i="4"/>
  <c r="H125" i="3"/>
  <c r="O125" i="3"/>
  <c r="AT93" i="4"/>
  <c r="AT92" i="4"/>
  <c r="AT91" i="4"/>
  <c r="AT90" i="4"/>
  <c r="AU93" i="4"/>
  <c r="AU92" i="4"/>
  <c r="AU91" i="4"/>
  <c r="AU90" i="4"/>
  <c r="M23" i="18"/>
  <c r="AV93" i="4"/>
  <c r="AV92" i="4"/>
  <c r="AV91" i="4"/>
  <c r="AV90" i="4"/>
  <c r="AW93" i="4"/>
  <c r="AW92" i="4"/>
  <c r="AW91" i="4"/>
  <c r="AW90" i="4"/>
  <c r="B126" i="3"/>
  <c r="C126" i="3"/>
  <c r="AZ93" i="4"/>
  <c r="AZ92" i="4"/>
  <c r="AZ91" i="4"/>
  <c r="AZ90" i="4"/>
  <c r="AX93" i="4"/>
  <c r="AX92" i="4"/>
  <c r="AX91" i="4"/>
  <c r="AX90" i="4"/>
  <c r="AY93" i="4"/>
  <c r="AY92" i="4"/>
  <c r="AY91" i="4"/>
  <c r="AY90" i="4"/>
  <c r="R58" i="4" l="1"/>
  <c r="R59" i="4" s="1"/>
  <c r="Y58" i="4"/>
  <c r="Y59" i="4" s="1"/>
  <c r="I56" i="4"/>
  <c r="I57" i="4" s="1"/>
  <c r="T58" i="4"/>
  <c r="T59" i="4" s="1"/>
  <c r="L58" i="4"/>
  <c r="L59" i="4" s="1"/>
  <c r="T56" i="4"/>
  <c r="T57" i="4" s="1"/>
  <c r="D58" i="4"/>
  <c r="D59" i="4" s="1"/>
  <c r="F58" i="4"/>
  <c r="F59" i="4" s="1"/>
  <c r="E197" i="25"/>
  <c r="AT94" i="4"/>
  <c r="AU94" i="4"/>
  <c r="AV94" i="4"/>
  <c r="AW94" i="4"/>
  <c r="AZ94" i="4"/>
  <c r="AX94" i="4"/>
  <c r="AY94" i="4"/>
  <c r="H189" i="25" l="1"/>
  <c r="C189" i="25"/>
  <c r="H188" i="25"/>
  <c r="C188" i="25"/>
  <c r="F186" i="25"/>
  <c r="E186" i="25"/>
  <c r="G185" i="25"/>
  <c r="E189" i="25" s="1"/>
  <c r="G184" i="25"/>
  <c r="F188" i="25" s="1"/>
  <c r="H179" i="25"/>
  <c r="C179" i="25"/>
  <c r="H178" i="25"/>
  <c r="C178" i="25"/>
  <c r="F176" i="25"/>
  <c r="E176" i="25"/>
  <c r="G175" i="25"/>
  <c r="F179" i="25" s="1"/>
  <c r="I179" i="25" s="1"/>
  <c r="G174" i="25"/>
  <c r="E178" i="25" s="1"/>
  <c r="H169" i="25"/>
  <c r="C169" i="25"/>
  <c r="H168" i="25"/>
  <c r="C168" i="25"/>
  <c r="F166" i="25"/>
  <c r="E166" i="25"/>
  <c r="G165" i="25"/>
  <c r="F169" i="25" s="1"/>
  <c r="I169" i="25" s="1"/>
  <c r="G164" i="25"/>
  <c r="E168" i="25" s="1"/>
  <c r="F125" i="3"/>
  <c r="F189" i="25" l="1"/>
  <c r="J189" i="25" s="1"/>
  <c r="I188" i="25"/>
  <c r="J188" i="25"/>
  <c r="G186" i="25"/>
  <c r="E187" i="25" s="1"/>
  <c r="E188" i="25"/>
  <c r="I189" i="25"/>
  <c r="J169" i="25"/>
  <c r="J179" i="25"/>
  <c r="G176" i="25"/>
  <c r="F177" i="25" s="1"/>
  <c r="F178" i="25"/>
  <c r="E179" i="25"/>
  <c r="G166" i="25"/>
  <c r="E167" i="25" s="1"/>
  <c r="F168" i="25"/>
  <c r="E169" i="25"/>
  <c r="H159" i="25"/>
  <c r="C159" i="25"/>
  <c r="H158" i="25"/>
  <c r="C158" i="25"/>
  <c r="F156" i="25"/>
  <c r="E156" i="25"/>
  <c r="G155" i="25"/>
  <c r="E159" i="25" s="1"/>
  <c r="G154" i="25"/>
  <c r="E158" i="25" s="1"/>
  <c r="D15" i="22"/>
  <c r="E15" i="22"/>
  <c r="AU36" i="4"/>
  <c r="AU35" i="4"/>
  <c r="AU37" i="4" s="1"/>
  <c r="AU31" i="4"/>
  <c r="AU29" i="4"/>
  <c r="AU28" i="4"/>
  <c r="Y69" i="4"/>
  <c r="Y68" i="4"/>
  <c r="Y63" i="4"/>
  <c r="Y62" i="4"/>
  <c r="Y66" i="4" s="1"/>
  <c r="D66" i="22"/>
  <c r="E66" i="22"/>
  <c r="AT36" i="4"/>
  <c r="AT35" i="4"/>
  <c r="AT37" i="4" s="1"/>
  <c r="AT31" i="4"/>
  <c r="AT29" i="4"/>
  <c r="AT28" i="4"/>
  <c r="X68" i="4"/>
  <c r="X69" i="4" s="1"/>
  <c r="X63" i="4"/>
  <c r="X62" i="4"/>
  <c r="X66" i="4" s="1"/>
  <c r="AU38" i="4" l="1"/>
  <c r="AT38" i="4"/>
  <c r="F187" i="25"/>
  <c r="I178" i="25"/>
  <c r="J178" i="25"/>
  <c r="I168" i="25"/>
  <c r="J168" i="25"/>
  <c r="E177" i="25"/>
  <c r="F167" i="25"/>
  <c r="F158" i="25"/>
  <c r="G156" i="25"/>
  <c r="E157" i="25" s="1"/>
  <c r="F159" i="25"/>
  <c r="AU32" i="4"/>
  <c r="AU33" i="4" s="1"/>
  <c r="AU41" i="4"/>
  <c r="AU39" i="4"/>
  <c r="AU40" i="4" s="1"/>
  <c r="Y64" i="4"/>
  <c r="Y65" i="4" s="1"/>
  <c r="Y67" i="4" s="1"/>
  <c r="AT32" i="4"/>
  <c r="AT33" i="4" s="1"/>
  <c r="AT41" i="4"/>
  <c r="AT39" i="4"/>
  <c r="AT40" i="4" s="1"/>
  <c r="X64" i="4"/>
  <c r="X65" i="4" s="1"/>
  <c r="D48" i="22"/>
  <c r="E48" i="22"/>
  <c r="Y70" i="4" l="1"/>
  <c r="Y71" i="4" s="1"/>
  <c r="Y72" i="4"/>
  <c r="I158" i="25"/>
  <c r="J158" i="25"/>
  <c r="I159" i="25"/>
  <c r="J159" i="25"/>
  <c r="F157" i="25"/>
  <c r="X67" i="4"/>
  <c r="X70" i="4"/>
  <c r="X71" i="4" s="1"/>
  <c r="X72" i="4"/>
  <c r="H124" i="3"/>
  <c r="O124" i="3"/>
  <c r="BC93" i="4"/>
  <c r="BC92" i="4"/>
  <c r="BC91" i="4"/>
  <c r="BC90" i="4"/>
  <c r="BD93" i="4"/>
  <c r="BD92" i="4"/>
  <c r="BD91" i="4"/>
  <c r="BD90" i="4"/>
  <c r="C26" i="18"/>
  <c r="BA93" i="4"/>
  <c r="BA92" i="4"/>
  <c r="BA91" i="4"/>
  <c r="BA90" i="4"/>
  <c r="BB93" i="4"/>
  <c r="BB92" i="4"/>
  <c r="BB91" i="4"/>
  <c r="BB90" i="4"/>
  <c r="B125" i="3"/>
  <c r="C125" i="3"/>
  <c r="D125" i="3"/>
  <c r="I126" i="3"/>
  <c r="F126" i="3" s="1"/>
  <c r="D126" i="3" s="1"/>
  <c r="I127" i="3"/>
  <c r="F127" i="3" s="1"/>
  <c r="D127" i="3" s="1"/>
  <c r="Q26" i="18"/>
  <c r="M26" i="18"/>
  <c r="L26" i="18" s="1"/>
  <c r="I26" i="18" l="1"/>
  <c r="P26" i="18"/>
  <c r="D26" i="18"/>
  <c r="BD94" i="4"/>
  <c r="E26" i="18"/>
  <c r="BA94" i="4"/>
  <c r="BC94" i="4"/>
  <c r="BB94" i="4"/>
  <c r="G26" i="18"/>
  <c r="BE93" i="4" l="1"/>
  <c r="BE92" i="4"/>
  <c r="BE91" i="4"/>
  <c r="BE90" i="4"/>
  <c r="BE94" i="4" l="1"/>
  <c r="I124" i="3"/>
  <c r="I123" i="3"/>
  <c r="BF93" i="4"/>
  <c r="BF92" i="4"/>
  <c r="BF91" i="4"/>
  <c r="BF90" i="4"/>
  <c r="BG93" i="4"/>
  <c r="BG92" i="4"/>
  <c r="BG91" i="4"/>
  <c r="BG90" i="4"/>
  <c r="H149" i="25"/>
  <c r="C149" i="25"/>
  <c r="H148" i="25"/>
  <c r="C148" i="25"/>
  <c r="F146" i="25"/>
  <c r="E146" i="25"/>
  <c r="G145" i="25"/>
  <c r="F149" i="25" s="1"/>
  <c r="G144" i="25"/>
  <c r="F148" i="25" s="1"/>
  <c r="H140" i="25"/>
  <c r="C140" i="25"/>
  <c r="H139" i="25"/>
  <c r="C139" i="25"/>
  <c r="F137" i="25"/>
  <c r="E137" i="25"/>
  <c r="G136" i="25"/>
  <c r="F140" i="25" s="1"/>
  <c r="G135" i="25"/>
  <c r="E139" i="25" s="1"/>
  <c r="H130" i="25"/>
  <c r="H129" i="25"/>
  <c r="H120" i="25"/>
  <c r="H119" i="25"/>
  <c r="H110" i="25"/>
  <c r="H109" i="25"/>
  <c r="H101" i="25"/>
  <c r="H100" i="25"/>
  <c r="H92" i="25"/>
  <c r="H91" i="25"/>
  <c r="H82" i="25"/>
  <c r="H81" i="25"/>
  <c r="H72" i="25"/>
  <c r="H71" i="25"/>
  <c r="H62" i="25"/>
  <c r="H61" i="25"/>
  <c r="H53" i="25"/>
  <c r="H52" i="25"/>
  <c r="H44" i="25"/>
  <c r="H43" i="25"/>
  <c r="H35" i="25"/>
  <c r="H34" i="25"/>
  <c r="H26" i="25"/>
  <c r="H25" i="25"/>
  <c r="H17" i="25"/>
  <c r="H16" i="25"/>
  <c r="H8" i="25"/>
  <c r="H7" i="25"/>
  <c r="C8" i="25"/>
  <c r="C7" i="25"/>
  <c r="C17" i="25"/>
  <c r="C16" i="25"/>
  <c r="C26" i="25"/>
  <c r="C25" i="25"/>
  <c r="C35" i="25"/>
  <c r="C34" i="25"/>
  <c r="C44" i="25"/>
  <c r="C43" i="25"/>
  <c r="C53" i="25"/>
  <c r="C52" i="25"/>
  <c r="C62" i="25"/>
  <c r="C61" i="25"/>
  <c r="C72" i="25"/>
  <c r="C71" i="25"/>
  <c r="C82" i="25"/>
  <c r="C81" i="25"/>
  <c r="C92" i="25"/>
  <c r="C91" i="25"/>
  <c r="C101" i="25"/>
  <c r="C100" i="25"/>
  <c r="C110" i="25"/>
  <c r="C109" i="25"/>
  <c r="C120" i="25"/>
  <c r="C119" i="25"/>
  <c r="C130" i="25"/>
  <c r="C129" i="25"/>
  <c r="F127" i="25"/>
  <c r="E127" i="25"/>
  <c r="G126" i="25"/>
  <c r="F130" i="25" s="1"/>
  <c r="J130" i="25" s="1"/>
  <c r="G125" i="25"/>
  <c r="F129" i="25" s="1"/>
  <c r="K124" i="3"/>
  <c r="K111" i="3"/>
  <c r="K123" i="3"/>
  <c r="B124" i="3"/>
  <c r="C124" i="3"/>
  <c r="O8" i="5"/>
  <c r="AS36" i="4"/>
  <c r="AS35" i="4"/>
  <c r="AS37" i="4" s="1"/>
  <c r="AS31" i="4"/>
  <c r="AS29" i="4"/>
  <c r="AS28" i="4"/>
  <c r="AS38" i="4" l="1"/>
  <c r="BG94" i="4"/>
  <c r="BF94" i="4"/>
  <c r="I130" i="25"/>
  <c r="I129" i="25"/>
  <c r="J129" i="25"/>
  <c r="I148" i="25"/>
  <c r="J148" i="25"/>
  <c r="I140" i="25"/>
  <c r="J140" i="25"/>
  <c r="I149" i="25"/>
  <c r="J149" i="25"/>
  <c r="G127" i="25"/>
  <c r="F128" i="25" s="1"/>
  <c r="F124" i="3"/>
  <c r="D124" i="3" s="1"/>
  <c r="G146" i="25"/>
  <c r="E147" i="25" s="1"/>
  <c r="E148" i="25"/>
  <c r="E149" i="25"/>
  <c r="G137" i="25"/>
  <c r="E138" i="25" s="1"/>
  <c r="F139" i="25"/>
  <c r="E140" i="25"/>
  <c r="E129" i="25"/>
  <c r="E130" i="25"/>
  <c r="AS32" i="4"/>
  <c r="AS33" i="4" s="1"/>
  <c r="AS41" i="4"/>
  <c r="AS39" i="4"/>
  <c r="AS40" i="4" s="1"/>
  <c r="M25" i="18"/>
  <c r="D25" i="18" s="1"/>
  <c r="L25" i="18"/>
  <c r="P25" i="18" s="1"/>
  <c r="Q25" i="18"/>
  <c r="H123" i="3"/>
  <c r="G25" i="18" l="1"/>
  <c r="I25" i="18"/>
  <c r="E25" i="18"/>
  <c r="E128" i="25"/>
  <c r="I139" i="25"/>
  <c r="J139" i="25"/>
  <c r="F147" i="25"/>
  <c r="F138" i="25"/>
  <c r="O123" i="3"/>
  <c r="BH93" i="4"/>
  <c r="BH92" i="4"/>
  <c r="BH91" i="4"/>
  <c r="BH90" i="4"/>
  <c r="BI93" i="4"/>
  <c r="BI92" i="4"/>
  <c r="BI91" i="4"/>
  <c r="BI90" i="4"/>
  <c r="BJ93" i="4"/>
  <c r="BJ92" i="4"/>
  <c r="BJ91" i="4"/>
  <c r="BJ90" i="4"/>
  <c r="BK93" i="4"/>
  <c r="BK92" i="4"/>
  <c r="BK91" i="4"/>
  <c r="BK90" i="4"/>
  <c r="BL93" i="4"/>
  <c r="BL92" i="4"/>
  <c r="BL91" i="4"/>
  <c r="BL90" i="4"/>
  <c r="BM93" i="4"/>
  <c r="BM92" i="4"/>
  <c r="BM91" i="4"/>
  <c r="BM90" i="4"/>
  <c r="BN93" i="4"/>
  <c r="BN92" i="4"/>
  <c r="BN91" i="4"/>
  <c r="BN90" i="4"/>
  <c r="BO93" i="4"/>
  <c r="BO92" i="4"/>
  <c r="BO91" i="4"/>
  <c r="BO90" i="4"/>
  <c r="BP93" i="4"/>
  <c r="BP92" i="4"/>
  <c r="BP91" i="4"/>
  <c r="BP90" i="4"/>
  <c r="BQ93" i="4"/>
  <c r="BQ92" i="4"/>
  <c r="BQ91" i="4"/>
  <c r="BQ90" i="4"/>
  <c r="BR93" i="4"/>
  <c r="BR92" i="4"/>
  <c r="BR91" i="4"/>
  <c r="BR90" i="4"/>
  <c r="BS93" i="4"/>
  <c r="BS92" i="4"/>
  <c r="BS91" i="4"/>
  <c r="BS90" i="4"/>
  <c r="M17" i="18"/>
  <c r="BH94" i="4" l="1"/>
  <c r="BO94" i="4"/>
  <c r="BM94" i="4"/>
  <c r="BK94" i="4"/>
  <c r="BI94" i="4"/>
  <c r="BJ94" i="4"/>
  <c r="BL94" i="4"/>
  <c r="BP94" i="4"/>
  <c r="BN94" i="4"/>
  <c r="BR94" i="4"/>
  <c r="BQ94" i="4"/>
  <c r="BS94" i="4"/>
  <c r="D24" i="22"/>
  <c r="E24" i="22"/>
  <c r="D42" i="22"/>
  <c r="D27" i="22"/>
  <c r="D20" i="22"/>
  <c r="D28" i="22"/>
  <c r="D29" i="22"/>
  <c r="D46" i="22"/>
  <c r="D32" i="22"/>
  <c r="E42" i="22"/>
  <c r="E27" i="22"/>
  <c r="E20" i="22"/>
  <c r="E28" i="22"/>
  <c r="E29" i="22"/>
  <c r="E46" i="22"/>
  <c r="E32" i="22"/>
  <c r="B118" i="25"/>
  <c r="F117" i="25" l="1"/>
  <c r="E117" i="25"/>
  <c r="G116" i="25"/>
  <c r="F120" i="25" s="1"/>
  <c r="G115" i="25"/>
  <c r="F119" i="25" s="1"/>
  <c r="F107" i="25"/>
  <c r="E107" i="25"/>
  <c r="G106" i="25"/>
  <c r="F110" i="25" s="1"/>
  <c r="G105" i="25"/>
  <c r="F109" i="25" s="1"/>
  <c r="F98" i="25"/>
  <c r="E98" i="25"/>
  <c r="G97" i="25"/>
  <c r="F101" i="25" s="1"/>
  <c r="G96" i="25"/>
  <c r="F100" i="25" s="1"/>
  <c r="F89" i="25"/>
  <c r="E89" i="25"/>
  <c r="G88" i="25"/>
  <c r="F92" i="25" s="1"/>
  <c r="G87" i="25"/>
  <c r="F91" i="25" s="1"/>
  <c r="F79" i="25"/>
  <c r="E79" i="25"/>
  <c r="G78" i="25"/>
  <c r="F82" i="25" s="1"/>
  <c r="G77" i="25"/>
  <c r="F81" i="25" s="1"/>
  <c r="F69" i="25"/>
  <c r="E69" i="25"/>
  <c r="G68" i="25"/>
  <c r="F72" i="25" s="1"/>
  <c r="G67" i="25"/>
  <c r="F71" i="25" s="1"/>
  <c r="I71" i="25" l="1"/>
  <c r="J71" i="25"/>
  <c r="I81" i="25"/>
  <c r="J81" i="25"/>
  <c r="I91" i="25"/>
  <c r="J91" i="25"/>
  <c r="I100" i="25"/>
  <c r="J100" i="25"/>
  <c r="I109" i="25"/>
  <c r="J109" i="25"/>
  <c r="I119" i="25"/>
  <c r="J119" i="25"/>
  <c r="I72" i="25"/>
  <c r="J72" i="25"/>
  <c r="I82" i="25"/>
  <c r="J82" i="25"/>
  <c r="I92" i="25"/>
  <c r="J92" i="25"/>
  <c r="I101" i="25"/>
  <c r="J101" i="25"/>
  <c r="I110" i="25"/>
  <c r="J110" i="25"/>
  <c r="I120" i="25"/>
  <c r="J120" i="25"/>
  <c r="G107" i="25"/>
  <c r="F108" i="25" s="1"/>
  <c r="E119" i="25"/>
  <c r="G117" i="25"/>
  <c r="E118" i="25" s="1"/>
  <c r="E120" i="25"/>
  <c r="E109" i="25"/>
  <c r="E110" i="25"/>
  <c r="E100" i="25"/>
  <c r="E101" i="25"/>
  <c r="G98" i="25"/>
  <c r="E99" i="25" s="1"/>
  <c r="E91" i="25"/>
  <c r="G89" i="25"/>
  <c r="E90" i="25" s="1"/>
  <c r="E92" i="25"/>
  <c r="G79" i="25"/>
  <c r="F80" i="25" s="1"/>
  <c r="E82" i="25"/>
  <c r="E81" i="25"/>
  <c r="E71" i="25"/>
  <c r="E72" i="25"/>
  <c r="G69" i="25"/>
  <c r="F70" i="25" s="1"/>
  <c r="E80" i="25" l="1"/>
  <c r="E108" i="25"/>
  <c r="F118" i="25"/>
  <c r="F99" i="25"/>
  <c r="F90" i="25"/>
  <c r="E70" i="25"/>
  <c r="F59" i="25" l="1"/>
  <c r="E59" i="25"/>
  <c r="G58" i="25"/>
  <c r="F62" i="25" s="1"/>
  <c r="G57" i="25"/>
  <c r="F61" i="25" s="1"/>
  <c r="F50" i="25"/>
  <c r="E50" i="25"/>
  <c r="G49" i="25"/>
  <c r="F53" i="25" s="1"/>
  <c r="G48" i="25"/>
  <c r="F52" i="25" s="1"/>
  <c r="F41" i="25"/>
  <c r="E41" i="25"/>
  <c r="G40" i="25"/>
  <c r="E44" i="25" s="1"/>
  <c r="G39" i="25"/>
  <c r="F43" i="25" s="1"/>
  <c r="F32" i="25"/>
  <c r="E32" i="25"/>
  <c r="G31" i="25"/>
  <c r="F35" i="25" s="1"/>
  <c r="G30" i="25"/>
  <c r="F34" i="25" s="1"/>
  <c r="F23" i="25"/>
  <c r="E23" i="25"/>
  <c r="G22" i="25"/>
  <c r="F26" i="25" s="1"/>
  <c r="G21" i="25"/>
  <c r="F25" i="25" s="1"/>
  <c r="F14" i="25"/>
  <c r="E14" i="25"/>
  <c r="G13" i="25"/>
  <c r="F17" i="25" s="1"/>
  <c r="G12" i="25"/>
  <c r="F16" i="25" s="1"/>
  <c r="G4" i="25"/>
  <c r="F8" i="25" s="1"/>
  <c r="G3" i="25"/>
  <c r="F7" i="25" s="1"/>
  <c r="F5" i="25"/>
  <c r="E5" i="25"/>
  <c r="D26" i="22"/>
  <c r="E26" i="22"/>
  <c r="D21" i="22"/>
  <c r="E21" i="22"/>
  <c r="C7" i="18"/>
  <c r="H114" i="4"/>
  <c r="H113" i="4"/>
  <c r="H112" i="4"/>
  <c r="H111" i="4"/>
  <c r="F123" i="3"/>
  <c r="D123" i="3" s="1"/>
  <c r="B123" i="3"/>
  <c r="C123" i="3"/>
  <c r="D16" i="22"/>
  <c r="E16" i="22"/>
  <c r="I16" i="25" l="1"/>
  <c r="J16" i="25"/>
  <c r="I25" i="25"/>
  <c r="J25" i="25"/>
  <c r="I34" i="25"/>
  <c r="J34" i="25"/>
  <c r="I43" i="25"/>
  <c r="J43" i="25"/>
  <c r="I52" i="25"/>
  <c r="J52" i="25"/>
  <c r="I61" i="25"/>
  <c r="J61" i="25"/>
  <c r="I17" i="25"/>
  <c r="J17" i="25"/>
  <c r="I26" i="25"/>
  <c r="J26" i="25"/>
  <c r="I35" i="25"/>
  <c r="J35" i="25"/>
  <c r="I53" i="25"/>
  <c r="J53" i="25"/>
  <c r="I62" i="25"/>
  <c r="J62" i="25"/>
  <c r="I7" i="25"/>
  <c r="J7" i="25"/>
  <c r="I8" i="25"/>
  <c r="J8" i="25"/>
  <c r="G41" i="25"/>
  <c r="F42" i="25" s="1"/>
  <c r="E8" i="25"/>
  <c r="E7" i="25"/>
  <c r="E61" i="25"/>
  <c r="G59" i="25"/>
  <c r="F60" i="25" s="1"/>
  <c r="E62" i="25"/>
  <c r="G50" i="25"/>
  <c r="E51" i="25" s="1"/>
  <c r="E53" i="25"/>
  <c r="E52" i="25"/>
  <c r="F44" i="25"/>
  <c r="E43" i="25"/>
  <c r="E34" i="25"/>
  <c r="E35" i="25"/>
  <c r="G32" i="25"/>
  <c r="E33" i="25" s="1"/>
  <c r="G23" i="25"/>
  <c r="F24" i="25" s="1"/>
  <c r="E25" i="25"/>
  <c r="E26" i="25"/>
  <c r="E16" i="25"/>
  <c r="G14" i="25"/>
  <c r="F15" i="25" s="1"/>
  <c r="E17" i="25"/>
  <c r="G5" i="25"/>
  <c r="E6" i="25" s="1"/>
  <c r="H115" i="4"/>
  <c r="H116" i="4" s="1"/>
  <c r="AR36" i="4"/>
  <c r="AR35" i="4"/>
  <c r="AR39" i="4" s="1"/>
  <c r="AR31" i="4"/>
  <c r="AR29" i="4"/>
  <c r="AR28" i="4"/>
  <c r="D41" i="22"/>
  <c r="E41" i="22"/>
  <c r="G94" i="22"/>
  <c r="BT93" i="4"/>
  <c r="BT92" i="4"/>
  <c r="BT91" i="4"/>
  <c r="BT90" i="4"/>
  <c r="BU93" i="4"/>
  <c r="BU92" i="4"/>
  <c r="BU91" i="4"/>
  <c r="BU90" i="4"/>
  <c r="BV93" i="4"/>
  <c r="BV92" i="4"/>
  <c r="BV91" i="4"/>
  <c r="BV90" i="4"/>
  <c r="BW93" i="4"/>
  <c r="BW92" i="4"/>
  <c r="BW91" i="4"/>
  <c r="BW90" i="4"/>
  <c r="BX93" i="4"/>
  <c r="BX92" i="4"/>
  <c r="BX91" i="4"/>
  <c r="BX90" i="4"/>
  <c r="BY93" i="4"/>
  <c r="BY92" i="4"/>
  <c r="BY91" i="4"/>
  <c r="BY90" i="4"/>
  <c r="BZ93" i="4"/>
  <c r="BZ92" i="4"/>
  <c r="BZ91" i="4"/>
  <c r="BZ90" i="4"/>
  <c r="O122" i="3"/>
  <c r="L122" i="3"/>
  <c r="H122" i="3"/>
  <c r="CA93" i="4"/>
  <c r="CA92" i="4"/>
  <c r="CA91" i="4"/>
  <c r="CA90" i="4"/>
  <c r="CB93" i="4"/>
  <c r="CB92" i="4"/>
  <c r="CB91" i="4"/>
  <c r="CB90" i="4"/>
  <c r="CC93" i="4"/>
  <c r="CC92" i="4"/>
  <c r="CC91" i="4"/>
  <c r="CC90" i="4"/>
  <c r="I114" i="4"/>
  <c r="I113" i="4"/>
  <c r="I112" i="4"/>
  <c r="I111" i="4"/>
  <c r="J114" i="4"/>
  <c r="J113" i="4"/>
  <c r="J112" i="4"/>
  <c r="J111" i="4"/>
  <c r="CD93" i="4"/>
  <c r="CD92" i="4"/>
  <c r="CD91" i="4"/>
  <c r="CD90" i="4"/>
  <c r="AR32" i="4" l="1"/>
  <c r="AR33" i="4" s="1"/>
  <c r="E42" i="25"/>
  <c r="I44" i="25"/>
  <c r="J44" i="25"/>
  <c r="BV94" i="4"/>
  <c r="BU94" i="4"/>
  <c r="BT94" i="4"/>
  <c r="E60" i="25"/>
  <c r="F51" i="25"/>
  <c r="F33" i="25"/>
  <c r="E24" i="25"/>
  <c r="E15" i="25"/>
  <c r="F6" i="25"/>
  <c r="CA94" i="4"/>
  <c r="AR37" i="4"/>
  <c r="AR38" i="4" s="1"/>
  <c r="AR40" i="4" s="1"/>
  <c r="BW94" i="4"/>
  <c r="BY94" i="4"/>
  <c r="BX94" i="4"/>
  <c r="BZ94" i="4"/>
  <c r="CC94" i="4"/>
  <c r="CB94" i="4"/>
  <c r="I115" i="4"/>
  <c r="I116" i="4" s="1"/>
  <c r="J115" i="4"/>
  <c r="J116" i="4" s="1"/>
  <c r="CD94" i="4"/>
  <c r="AR41" i="4" l="1"/>
  <c r="D30" i="22"/>
  <c r="E30" i="22"/>
  <c r="AQ36" i="4" l="1"/>
  <c r="AQ35" i="4"/>
  <c r="AQ39" i="4" s="1"/>
  <c r="AQ31" i="4"/>
  <c r="AQ29" i="4"/>
  <c r="AQ28" i="4"/>
  <c r="AP36" i="4"/>
  <c r="AP35" i="4"/>
  <c r="AP39" i="4" s="1"/>
  <c r="AP31" i="4"/>
  <c r="AP29" i="4"/>
  <c r="AP28" i="4"/>
  <c r="AQ37" i="4" l="1"/>
  <c r="AQ38" i="4" s="1"/>
  <c r="AQ40" i="4" s="1"/>
  <c r="AQ32" i="4"/>
  <c r="AQ33" i="4" s="1"/>
  <c r="AQ41" i="4"/>
  <c r="AP32" i="4"/>
  <c r="AP33" i="4" s="1"/>
  <c r="AP37" i="4"/>
  <c r="AP38" i="4" s="1"/>
  <c r="AP40" i="4" s="1"/>
  <c r="AP41" i="4" l="1"/>
  <c r="M7" i="18"/>
  <c r="D7" i="18" s="1"/>
  <c r="L49" i="5"/>
  <c r="L48" i="5"/>
  <c r="L47" i="5"/>
  <c r="L46" i="5"/>
  <c r="L45" i="5"/>
  <c r="I49" i="5"/>
  <c r="I48" i="5"/>
  <c r="I47" i="5"/>
  <c r="I46" i="5"/>
  <c r="I45" i="5"/>
  <c r="F46" i="5"/>
  <c r="F47" i="5"/>
  <c r="F48" i="5"/>
  <c r="F49" i="5"/>
  <c r="F45" i="5"/>
  <c r="G38" i="5"/>
  <c r="D17" i="22" l="1"/>
  <c r="E17" i="22"/>
  <c r="CE93" i="4"/>
  <c r="CE92" i="4"/>
  <c r="CE91" i="4"/>
  <c r="CE90" i="4"/>
  <c r="CE94" i="4" l="1"/>
  <c r="C19" i="18"/>
  <c r="M22" i="18"/>
  <c r="C22" i="18"/>
  <c r="D57" i="22"/>
  <c r="E57" i="22"/>
  <c r="D40" i="22"/>
  <c r="E40" i="22"/>
  <c r="D51" i="22"/>
  <c r="E51" i="22"/>
  <c r="D35" i="22"/>
  <c r="E35" i="22"/>
  <c r="D22" i="18" l="1"/>
  <c r="F122" i="3"/>
  <c r="D122" i="3" s="1"/>
  <c r="B122" i="3"/>
  <c r="C122" i="3"/>
  <c r="D19" i="22"/>
  <c r="E19" i="22"/>
  <c r="D14" i="22"/>
  <c r="E14" i="22"/>
  <c r="O121" i="3" l="1"/>
  <c r="H121" i="3"/>
  <c r="CF93" i="4"/>
  <c r="CF92" i="4"/>
  <c r="CF91" i="4"/>
  <c r="CF90" i="4"/>
  <c r="CG93" i="4"/>
  <c r="CG92" i="4"/>
  <c r="CG91" i="4"/>
  <c r="CG90" i="4"/>
  <c r="CH93" i="4"/>
  <c r="CH92" i="4"/>
  <c r="CH91" i="4"/>
  <c r="CH90" i="4"/>
  <c r="CH94" i="4" l="1"/>
  <c r="CG94" i="4"/>
  <c r="CF94" i="4"/>
  <c r="N35" i="4"/>
  <c r="B121" i="3" l="1"/>
  <c r="C121" i="3"/>
  <c r="F121" i="3"/>
  <c r="D121" i="3" s="1"/>
  <c r="AO36" i="4" l="1"/>
  <c r="AO35" i="4"/>
  <c r="AO37" i="4" s="1"/>
  <c r="AO31" i="4"/>
  <c r="AO29" i="4"/>
  <c r="AO28" i="4"/>
  <c r="AO38" i="4" l="1"/>
  <c r="AO32" i="4"/>
  <c r="AO33" i="4" s="1"/>
  <c r="AO41" i="4"/>
  <c r="AO39" i="4"/>
  <c r="O120" i="3"/>
  <c r="H120" i="3"/>
  <c r="AO40" i="4" l="1"/>
  <c r="E29" i="4"/>
  <c r="F29" i="4"/>
  <c r="G29" i="4"/>
  <c r="H29" i="4"/>
  <c r="I29" i="4"/>
  <c r="J29" i="4"/>
  <c r="K29" i="4"/>
  <c r="L29" i="4"/>
  <c r="M29" i="4"/>
  <c r="N29" i="4"/>
  <c r="O29" i="4"/>
  <c r="P29" i="4"/>
  <c r="Q29" i="4"/>
  <c r="R29" i="4"/>
  <c r="S29" i="4"/>
  <c r="T29" i="4"/>
  <c r="U29" i="4"/>
  <c r="V29" i="4"/>
  <c r="W29" i="4"/>
  <c r="X29" i="4"/>
  <c r="Y29" i="4"/>
  <c r="Z29" i="4"/>
  <c r="AA29" i="4"/>
  <c r="AB29" i="4"/>
  <c r="AC29" i="4"/>
  <c r="AD29" i="4"/>
  <c r="AE29" i="4"/>
  <c r="AF29" i="4"/>
  <c r="AG29" i="4"/>
  <c r="AH29" i="4"/>
  <c r="AI29" i="4"/>
  <c r="AJ29" i="4"/>
  <c r="AK29" i="4"/>
  <c r="AL29" i="4"/>
  <c r="AM29" i="4"/>
  <c r="AN29" i="4"/>
  <c r="D29" i="4"/>
  <c r="AN36" i="4" l="1"/>
  <c r="AN35" i="4"/>
  <c r="AN39" i="4" s="1"/>
  <c r="AN31" i="4"/>
  <c r="AN28" i="4"/>
  <c r="AN32" i="4" s="1"/>
  <c r="AN33" i="4" s="1"/>
  <c r="AN37" i="4" l="1"/>
  <c r="AN38" i="4" s="1"/>
  <c r="AN40" i="4" s="1"/>
  <c r="B120" i="3"/>
  <c r="C120" i="3"/>
  <c r="F120" i="3"/>
  <c r="D120" i="3" s="1"/>
  <c r="AN41" i="4" l="1"/>
  <c r="O119" i="3"/>
  <c r="H119" i="3"/>
  <c r="D55" i="22"/>
  <c r="E55" i="22"/>
  <c r="CI93" i="4"/>
  <c r="CI92" i="4"/>
  <c r="CI91" i="4"/>
  <c r="CI90" i="4"/>
  <c r="CI94" i="4" l="1"/>
  <c r="M16" i="18"/>
  <c r="L16" i="18" s="1"/>
  <c r="E31" i="4"/>
  <c r="F31" i="4"/>
  <c r="G31" i="4"/>
  <c r="H31" i="4"/>
  <c r="I31" i="4"/>
  <c r="J31" i="4"/>
  <c r="K31" i="4"/>
  <c r="L31" i="4"/>
  <c r="M31" i="4"/>
  <c r="N31" i="4"/>
  <c r="O31" i="4"/>
  <c r="P31" i="4"/>
  <c r="Q31" i="4"/>
  <c r="R31" i="4"/>
  <c r="S31" i="4"/>
  <c r="T31" i="4"/>
  <c r="U31" i="4"/>
  <c r="V31" i="4"/>
  <c r="W31" i="4"/>
  <c r="X31" i="4"/>
  <c r="Y31" i="4"/>
  <c r="Z31" i="4"/>
  <c r="AA31" i="4"/>
  <c r="AB31" i="4"/>
  <c r="AC31" i="4"/>
  <c r="AD31" i="4"/>
  <c r="AE31" i="4"/>
  <c r="AF31" i="4"/>
  <c r="AG31" i="4"/>
  <c r="AH31" i="4"/>
  <c r="AI31" i="4"/>
  <c r="AJ31" i="4"/>
  <c r="AK31" i="4"/>
  <c r="AL31" i="4"/>
  <c r="AM31" i="4"/>
  <c r="G16" i="18" l="1"/>
  <c r="I16" i="18"/>
  <c r="D31" i="4"/>
  <c r="L119" i="3" l="1"/>
  <c r="B119" i="3" l="1"/>
  <c r="C119" i="3"/>
  <c r="F119" i="3"/>
  <c r="D119" i="3" l="1"/>
  <c r="I1" i="7"/>
  <c r="L36" i="7"/>
  <c r="O118" i="3" l="1"/>
  <c r="D62" i="22" l="1"/>
  <c r="E62" i="22"/>
  <c r="D34" i="22" l="1"/>
  <c r="E34" i="22"/>
  <c r="D54" i="22"/>
  <c r="E54" i="22"/>
  <c r="D49" i="22"/>
  <c r="E49" i="22"/>
  <c r="H118" i="3"/>
  <c r="F118" i="3" l="1"/>
  <c r="D118" i="3" s="1"/>
  <c r="O117" i="3"/>
  <c r="AA36" i="4"/>
  <c r="AA35" i="4"/>
  <c r="AA37" i="4" s="1"/>
  <c r="AA28" i="4"/>
  <c r="AA32" i="4" s="1"/>
  <c r="AA33" i="4" s="1"/>
  <c r="B118" i="3"/>
  <c r="C118" i="3"/>
  <c r="CJ93" i="4"/>
  <c r="CJ92" i="4"/>
  <c r="CJ91" i="4"/>
  <c r="CJ90" i="4"/>
  <c r="CK93" i="4"/>
  <c r="CK92" i="4"/>
  <c r="CK91" i="4"/>
  <c r="CK90" i="4"/>
  <c r="L20" i="18"/>
  <c r="CK94" i="4" l="1"/>
  <c r="AA38" i="4"/>
  <c r="G20" i="18"/>
  <c r="I20" i="18"/>
  <c r="AA41" i="4"/>
  <c r="AA39" i="4"/>
  <c r="AA40" i="4" s="1"/>
  <c r="CJ94" i="4"/>
  <c r="M24" i="18"/>
  <c r="L24" i="18" s="1"/>
  <c r="Q24" i="18"/>
  <c r="W68" i="4"/>
  <c r="W69" i="4" s="1"/>
  <c r="W63" i="4"/>
  <c r="W62" i="4"/>
  <c r="W66" i="4" s="1"/>
  <c r="G24" i="18" l="1"/>
  <c r="I24" i="18"/>
  <c r="P24" i="18"/>
  <c r="W64" i="4"/>
  <c r="W65" i="4" s="1"/>
  <c r="AM36" i="4"/>
  <c r="AM35" i="4"/>
  <c r="AM37" i="4" s="1"/>
  <c r="AM28" i="4"/>
  <c r="AM32" i="4" s="1"/>
  <c r="AM33" i="4" s="1"/>
  <c r="AM38" i="4" l="1"/>
  <c r="W70" i="4"/>
  <c r="W71" i="4" s="1"/>
  <c r="W67" i="4"/>
  <c r="W72" i="4"/>
  <c r="AM41" i="4"/>
  <c r="AM39" i="4"/>
  <c r="H117" i="3"/>
  <c r="AM40" i="4" l="1"/>
  <c r="CL93" i="4"/>
  <c r="CL92" i="4"/>
  <c r="CL91" i="4"/>
  <c r="CL90" i="4"/>
  <c r="CM93" i="4"/>
  <c r="CM92" i="4"/>
  <c r="CM91" i="4"/>
  <c r="CM90" i="4"/>
  <c r="CN93" i="4"/>
  <c r="CN92" i="4"/>
  <c r="CN91" i="4"/>
  <c r="CN90" i="4"/>
  <c r="CO93" i="4"/>
  <c r="CO92" i="4"/>
  <c r="CO91" i="4"/>
  <c r="CO90" i="4"/>
  <c r="CP93" i="4"/>
  <c r="CP92" i="4"/>
  <c r="CP91" i="4"/>
  <c r="CP90" i="4"/>
  <c r="CX93" i="4"/>
  <c r="CX92" i="4"/>
  <c r="CX91" i="4"/>
  <c r="CX90" i="4"/>
  <c r="CQ93" i="4"/>
  <c r="CQ92" i="4"/>
  <c r="CQ91" i="4"/>
  <c r="CQ90" i="4"/>
  <c r="CR93" i="4"/>
  <c r="CR92" i="4"/>
  <c r="CR91" i="4"/>
  <c r="CR90" i="4"/>
  <c r="CS93" i="4"/>
  <c r="CS92" i="4"/>
  <c r="CS91" i="4"/>
  <c r="CS90" i="4"/>
  <c r="CT93" i="4"/>
  <c r="CT92" i="4"/>
  <c r="CT91" i="4"/>
  <c r="CT90" i="4"/>
  <c r="CU93" i="4"/>
  <c r="CU92" i="4"/>
  <c r="CU91" i="4"/>
  <c r="CU90" i="4"/>
  <c r="CV93" i="4"/>
  <c r="CV92" i="4"/>
  <c r="CV91" i="4"/>
  <c r="CV90" i="4"/>
  <c r="CW93" i="4"/>
  <c r="CW92" i="4"/>
  <c r="CW91" i="4"/>
  <c r="CW90" i="4"/>
  <c r="CO94" i="4" l="1"/>
  <c r="CN94" i="4"/>
  <c r="CM94" i="4"/>
  <c r="CL94" i="4"/>
  <c r="CS94" i="4"/>
  <c r="CQ94" i="4"/>
  <c r="CX94" i="4"/>
  <c r="CP94" i="4"/>
  <c r="CR94" i="4"/>
  <c r="CT94" i="4"/>
  <c r="CW94" i="4"/>
  <c r="CU94" i="4"/>
  <c r="CV94" i="4"/>
  <c r="CY93" i="4"/>
  <c r="CY92" i="4"/>
  <c r="CY91" i="4"/>
  <c r="CY90" i="4"/>
  <c r="CY94" i="4" l="1"/>
  <c r="CZ93" i="4"/>
  <c r="CZ92" i="4"/>
  <c r="CZ91" i="4"/>
  <c r="CZ90" i="4"/>
  <c r="CZ94" i="4" l="1"/>
  <c r="DA93" i="4"/>
  <c r="DA92" i="4"/>
  <c r="DA91" i="4"/>
  <c r="DA90" i="4"/>
  <c r="DA94" i="4" l="1"/>
  <c r="B117" i="3"/>
  <c r="C117" i="3"/>
  <c r="O116" i="3" l="1"/>
  <c r="H116" i="3"/>
  <c r="DB93" i="4"/>
  <c r="DB92" i="4"/>
  <c r="DB91" i="4"/>
  <c r="DB90" i="4"/>
  <c r="DC93" i="4"/>
  <c r="DC92" i="4"/>
  <c r="DC91" i="4"/>
  <c r="DC90" i="4"/>
  <c r="DB94" i="4" l="1"/>
  <c r="DC94" i="4"/>
  <c r="C23" i="18"/>
  <c r="C20" i="18"/>
  <c r="D20" i="18" s="1"/>
  <c r="I117" i="3" l="1"/>
  <c r="F117" i="3" s="1"/>
  <c r="D117" i="3" s="1"/>
  <c r="DD93" i="4" l="1"/>
  <c r="DD92" i="4"/>
  <c r="DD91" i="4"/>
  <c r="DD90" i="4"/>
  <c r="D89" i="22"/>
  <c r="E89" i="22"/>
  <c r="D60" i="22"/>
  <c r="E60" i="22"/>
  <c r="D65" i="22"/>
  <c r="E65" i="22"/>
  <c r="DD94" i="4" l="1"/>
  <c r="B116" i="3"/>
  <c r="C116" i="3"/>
  <c r="F116" i="3"/>
  <c r="D116" i="3" s="1"/>
  <c r="H115" i="3" l="1"/>
  <c r="O115" i="3"/>
  <c r="DE93" i="4"/>
  <c r="DE92" i="4"/>
  <c r="DE91" i="4"/>
  <c r="DE90" i="4"/>
  <c r="DF93" i="4"/>
  <c r="DF92" i="4"/>
  <c r="DF91" i="4"/>
  <c r="DF90" i="4"/>
  <c r="DG93" i="4"/>
  <c r="DG92" i="4"/>
  <c r="DG91" i="4"/>
  <c r="DG90" i="4"/>
  <c r="DI93" i="4"/>
  <c r="DI92" i="4"/>
  <c r="DI91" i="4"/>
  <c r="DI90" i="4"/>
  <c r="DH93" i="4"/>
  <c r="DH92" i="4"/>
  <c r="DH91" i="4"/>
  <c r="DH90" i="4"/>
  <c r="DE94" i="4" l="1"/>
  <c r="DG94" i="4"/>
  <c r="DF94" i="4"/>
  <c r="DI94" i="4"/>
  <c r="DH94" i="4"/>
  <c r="Q23" i="18"/>
  <c r="D70" i="22"/>
  <c r="E70" i="22"/>
  <c r="L23" i="18" l="1"/>
  <c r="D23" i="18"/>
  <c r="DJ93" i="4"/>
  <c r="DJ92" i="4"/>
  <c r="DJ91" i="4"/>
  <c r="DJ90" i="4"/>
  <c r="L104" i="4"/>
  <c r="L114" i="4" s="1"/>
  <c r="L113" i="4"/>
  <c r="L112" i="4"/>
  <c r="L111" i="4"/>
  <c r="B115" i="3"/>
  <c r="C115" i="3"/>
  <c r="K114" i="4"/>
  <c r="K113" i="4"/>
  <c r="K112" i="4"/>
  <c r="K111" i="4"/>
  <c r="G23" i="18" l="1"/>
  <c r="I23" i="18"/>
  <c r="E23" i="18"/>
  <c r="P23" i="18"/>
  <c r="DJ94" i="4"/>
  <c r="L115" i="4"/>
  <c r="L116" i="4" s="1"/>
  <c r="K115" i="4"/>
  <c r="K116" i="4" s="1"/>
  <c r="DK93" i="4"/>
  <c r="DK94" i="4" s="1"/>
  <c r="DK92" i="4"/>
  <c r="DK91" i="4"/>
  <c r="DK90" i="4"/>
  <c r="D90" i="22"/>
  <c r="E90" i="22"/>
  <c r="D92" i="22"/>
  <c r="E92" i="22"/>
  <c r="D56" i="22"/>
  <c r="E56" i="22"/>
  <c r="H114" i="3" l="1"/>
  <c r="O114" i="3"/>
  <c r="DL93" i="4"/>
  <c r="DL92" i="4"/>
  <c r="DL91" i="4"/>
  <c r="DL90" i="4"/>
  <c r="DM93" i="4"/>
  <c r="DM92" i="4"/>
  <c r="DM91" i="4"/>
  <c r="DM90" i="4"/>
  <c r="O1" i="18"/>
  <c r="C15" i="18"/>
  <c r="DM94" i="4" l="1"/>
  <c r="DL94" i="4"/>
  <c r="M15" i="18"/>
  <c r="L15" i="18" s="1"/>
  <c r="DN93" i="4"/>
  <c r="DN92" i="4"/>
  <c r="DN91" i="4"/>
  <c r="DN90" i="4"/>
  <c r="D15" i="18" l="1"/>
  <c r="G15" i="18"/>
  <c r="I15" i="18"/>
  <c r="E15" i="18"/>
  <c r="DN94" i="4"/>
  <c r="T114" i="4"/>
  <c r="T113" i="4"/>
  <c r="T112" i="4"/>
  <c r="T111" i="4"/>
  <c r="I114" i="3"/>
  <c r="B7" i="3"/>
  <c r="U114" i="4"/>
  <c r="U112" i="4"/>
  <c r="U111" i="4"/>
  <c r="U113" i="4"/>
  <c r="T115" i="4" l="1"/>
  <c r="T116" i="4" s="1"/>
  <c r="U115" i="4"/>
  <c r="U116" i="4" s="1"/>
  <c r="D7" i="22"/>
  <c r="E7" i="22"/>
  <c r="D84" i="22"/>
  <c r="E84" i="22"/>
  <c r="D88" i="22"/>
  <c r="E88" i="22"/>
  <c r="F114" i="3" l="1"/>
  <c r="D114" i="3" s="1"/>
  <c r="B114" i="3"/>
  <c r="C114" i="3"/>
  <c r="D71" i="22"/>
  <c r="E71" i="22"/>
  <c r="H113" i="3" l="1"/>
  <c r="Q22" i="18"/>
  <c r="L22" i="18"/>
  <c r="E22" i="18" s="1"/>
  <c r="O113" i="3"/>
  <c r="I22" i="18" l="1"/>
  <c r="G22" i="18"/>
  <c r="P22" i="18"/>
  <c r="DP93" i="4"/>
  <c r="DP92" i="4"/>
  <c r="DP91" i="4"/>
  <c r="DP90" i="4"/>
  <c r="DQ93" i="4"/>
  <c r="DQ92" i="4"/>
  <c r="DQ91" i="4"/>
  <c r="DQ90" i="4"/>
  <c r="DQ94" i="4" l="1"/>
  <c r="DP94" i="4"/>
  <c r="DO93" i="4"/>
  <c r="DO92" i="4"/>
  <c r="DO91" i="4"/>
  <c r="DO90" i="4"/>
  <c r="H11" i="18"/>
  <c r="DV81" i="4"/>
  <c r="DV93" i="4" s="1"/>
  <c r="DV91" i="4"/>
  <c r="DV90" i="4"/>
  <c r="E58" i="22"/>
  <c r="D58" i="22"/>
  <c r="DV94" i="4" l="1"/>
  <c r="DO94" i="4"/>
  <c r="DV92" i="4"/>
  <c r="M4" i="18"/>
  <c r="H112" i="3"/>
  <c r="B113" i="3"/>
  <c r="C113" i="3"/>
  <c r="L4" i="18" l="1"/>
  <c r="O112" i="3"/>
  <c r="DW93" i="4"/>
  <c r="DW92" i="4"/>
  <c r="DW91" i="4"/>
  <c r="DW90" i="4"/>
  <c r="DU93" i="4"/>
  <c r="DU92" i="4"/>
  <c r="DU91" i="4"/>
  <c r="DU90" i="4"/>
  <c r="DT93" i="4"/>
  <c r="DT92" i="4"/>
  <c r="DT91" i="4"/>
  <c r="DT90" i="4"/>
  <c r="DX93" i="4"/>
  <c r="DX92" i="4"/>
  <c r="DX91" i="4"/>
  <c r="DX90" i="4"/>
  <c r="DY93" i="4"/>
  <c r="DY92" i="4"/>
  <c r="DY91" i="4"/>
  <c r="DY90" i="4"/>
  <c r="DR93" i="4"/>
  <c r="DR92" i="4"/>
  <c r="DR91" i="4"/>
  <c r="DR90" i="4"/>
  <c r="N114" i="4"/>
  <c r="N113" i="4"/>
  <c r="N112" i="4"/>
  <c r="N111" i="4"/>
  <c r="M114" i="4"/>
  <c r="M113" i="4"/>
  <c r="M112" i="4"/>
  <c r="M111" i="4"/>
  <c r="DS93" i="4"/>
  <c r="DS92" i="4"/>
  <c r="DS91" i="4"/>
  <c r="DS90" i="4"/>
  <c r="DS94" i="4" l="1"/>
  <c r="I4" i="18"/>
  <c r="G4" i="18"/>
  <c r="N115" i="4"/>
  <c r="N116" i="4" s="1"/>
  <c r="DR94" i="4"/>
  <c r="DY94" i="4"/>
  <c r="DX94" i="4"/>
  <c r="DT94" i="4"/>
  <c r="DU94" i="4"/>
  <c r="DW94" i="4"/>
  <c r="M115" i="4"/>
  <c r="M116" i="4" s="1"/>
  <c r="DZ93" i="4"/>
  <c r="DZ92" i="4"/>
  <c r="DZ91" i="4"/>
  <c r="DZ90" i="4"/>
  <c r="R100" i="4"/>
  <c r="R113" i="4" s="1"/>
  <c r="R102" i="4"/>
  <c r="R111" i="4" s="1"/>
  <c r="R114" i="4"/>
  <c r="R112" i="4"/>
  <c r="S102" i="4"/>
  <c r="S111" i="4" s="1"/>
  <c r="Q102" i="4"/>
  <c r="Q111" i="4" s="1"/>
  <c r="S114" i="4"/>
  <c r="S112" i="4"/>
  <c r="S100" i="4"/>
  <c r="S113" i="4" s="1"/>
  <c r="Q100" i="4"/>
  <c r="Q113" i="4" s="1"/>
  <c r="Q114" i="4"/>
  <c r="Q112" i="4"/>
  <c r="P102" i="4"/>
  <c r="P111" i="4" s="1"/>
  <c r="P100" i="4"/>
  <c r="P113" i="4" s="1"/>
  <c r="P114" i="4"/>
  <c r="P112" i="4"/>
  <c r="O114" i="4"/>
  <c r="O113" i="4"/>
  <c r="O112" i="4"/>
  <c r="O111" i="4"/>
  <c r="DZ94" i="4" l="1"/>
  <c r="R115" i="4"/>
  <c r="R116" i="4" s="1"/>
  <c r="S115" i="4"/>
  <c r="S116" i="4" s="1"/>
  <c r="Q115" i="4"/>
  <c r="Q116" i="4" s="1"/>
  <c r="P115" i="4"/>
  <c r="P116" i="4" s="1"/>
  <c r="O115" i="4"/>
  <c r="O116" i="4" s="1"/>
  <c r="I113" i="3" l="1"/>
  <c r="F113" i="3" s="1"/>
  <c r="D113" i="3" s="1"/>
  <c r="B112" i="3" l="1"/>
  <c r="C112" i="3"/>
  <c r="F112" i="3"/>
  <c r="D112" i="3" l="1"/>
  <c r="B111" i="3"/>
  <c r="C111" i="3"/>
  <c r="B15" i="3"/>
  <c r="C15" i="3"/>
  <c r="B16" i="3"/>
  <c r="C16" i="3"/>
  <c r="B17" i="3"/>
  <c r="C17" i="3"/>
  <c r="B18" i="3"/>
  <c r="C18" i="3"/>
  <c r="B19" i="3"/>
  <c r="C19" i="3"/>
  <c r="B20" i="3"/>
  <c r="C20" i="3"/>
  <c r="B21" i="3"/>
  <c r="C21" i="3"/>
  <c r="B22" i="3"/>
  <c r="C22" i="3"/>
  <c r="B23" i="3"/>
  <c r="C23" i="3"/>
  <c r="B24" i="3"/>
  <c r="C24" i="3"/>
  <c r="B25" i="3"/>
  <c r="C25" i="3"/>
  <c r="B26" i="3"/>
  <c r="C26" i="3"/>
  <c r="B27" i="3"/>
  <c r="C27" i="3"/>
  <c r="B28" i="3"/>
  <c r="C28" i="3"/>
  <c r="B29" i="3"/>
  <c r="C29" i="3"/>
  <c r="B30" i="3"/>
  <c r="C30" i="3"/>
  <c r="B31" i="3"/>
  <c r="C31" i="3"/>
  <c r="B32" i="3"/>
  <c r="C32" i="3"/>
  <c r="B33" i="3"/>
  <c r="C33" i="3"/>
  <c r="B34" i="3"/>
  <c r="C34" i="3"/>
  <c r="B35" i="3"/>
  <c r="C35" i="3"/>
  <c r="B36" i="3"/>
  <c r="C36" i="3"/>
  <c r="B37" i="3"/>
  <c r="C37" i="3"/>
  <c r="B38" i="3"/>
  <c r="C38" i="3"/>
  <c r="B39" i="3"/>
  <c r="C39" i="3"/>
  <c r="B40" i="3"/>
  <c r="C40" i="3"/>
  <c r="B41" i="3"/>
  <c r="C41" i="3"/>
  <c r="B42" i="3"/>
  <c r="C42" i="3"/>
  <c r="B43" i="3"/>
  <c r="C43" i="3"/>
  <c r="B44" i="3"/>
  <c r="C44" i="3"/>
  <c r="B45" i="3"/>
  <c r="C45" i="3"/>
  <c r="B46" i="3"/>
  <c r="C46" i="3"/>
  <c r="B47" i="3"/>
  <c r="C47" i="3"/>
  <c r="B48" i="3"/>
  <c r="C48" i="3"/>
  <c r="B49" i="3"/>
  <c r="C49" i="3"/>
  <c r="B50" i="3"/>
  <c r="C50" i="3"/>
  <c r="B51" i="3"/>
  <c r="C51" i="3"/>
  <c r="B52" i="3"/>
  <c r="C52" i="3"/>
  <c r="B53" i="3"/>
  <c r="C53" i="3"/>
  <c r="B54" i="3"/>
  <c r="C54" i="3"/>
  <c r="B55" i="3"/>
  <c r="C55" i="3"/>
  <c r="B56" i="3"/>
  <c r="C56" i="3"/>
  <c r="B57" i="3"/>
  <c r="C57" i="3"/>
  <c r="B58" i="3"/>
  <c r="C58" i="3"/>
  <c r="B59" i="3"/>
  <c r="C59" i="3"/>
  <c r="B60" i="3"/>
  <c r="C60" i="3"/>
  <c r="B61" i="3"/>
  <c r="C61" i="3"/>
  <c r="B62" i="3"/>
  <c r="C62" i="3"/>
  <c r="B63" i="3"/>
  <c r="C63" i="3"/>
  <c r="B64" i="3"/>
  <c r="C64" i="3"/>
  <c r="B65" i="3"/>
  <c r="C65" i="3"/>
  <c r="B66" i="3"/>
  <c r="C66" i="3"/>
  <c r="B67" i="3"/>
  <c r="C67" i="3"/>
  <c r="B68" i="3"/>
  <c r="C68" i="3"/>
  <c r="B69" i="3"/>
  <c r="C69" i="3"/>
  <c r="B70" i="3"/>
  <c r="C70" i="3"/>
  <c r="B71" i="3"/>
  <c r="C71" i="3"/>
  <c r="B72" i="3"/>
  <c r="C72" i="3"/>
  <c r="B73" i="3"/>
  <c r="C73" i="3"/>
  <c r="B74" i="3"/>
  <c r="C74" i="3"/>
  <c r="B75" i="3"/>
  <c r="C75" i="3"/>
  <c r="B76" i="3"/>
  <c r="C76" i="3"/>
  <c r="B77" i="3"/>
  <c r="C77" i="3"/>
  <c r="B78" i="3"/>
  <c r="C78" i="3"/>
  <c r="B79" i="3"/>
  <c r="C79" i="3"/>
  <c r="B80" i="3"/>
  <c r="C80" i="3"/>
  <c r="B81" i="3"/>
  <c r="C81" i="3"/>
  <c r="B82" i="3"/>
  <c r="C82" i="3"/>
  <c r="B83" i="3"/>
  <c r="C83" i="3"/>
  <c r="B84" i="3"/>
  <c r="C84" i="3"/>
  <c r="B85" i="3"/>
  <c r="C85" i="3"/>
  <c r="B86" i="3"/>
  <c r="C86" i="3"/>
  <c r="B87" i="3"/>
  <c r="C87" i="3"/>
  <c r="B88" i="3"/>
  <c r="C88" i="3"/>
  <c r="B89" i="3"/>
  <c r="C89" i="3"/>
  <c r="B90" i="3"/>
  <c r="C90" i="3"/>
  <c r="B91" i="3"/>
  <c r="C91" i="3"/>
  <c r="B92" i="3"/>
  <c r="C92" i="3"/>
  <c r="B93" i="3"/>
  <c r="C93" i="3"/>
  <c r="B94" i="3"/>
  <c r="C94" i="3"/>
  <c r="B95" i="3"/>
  <c r="C95" i="3"/>
  <c r="B96" i="3"/>
  <c r="C96" i="3"/>
  <c r="B97" i="3"/>
  <c r="C97" i="3"/>
  <c r="B98" i="3"/>
  <c r="C98" i="3"/>
  <c r="B99" i="3"/>
  <c r="C99" i="3"/>
  <c r="B100" i="3"/>
  <c r="C100" i="3"/>
  <c r="B101" i="3"/>
  <c r="C101" i="3"/>
  <c r="B102" i="3"/>
  <c r="C102" i="3"/>
  <c r="B103" i="3"/>
  <c r="C103" i="3"/>
  <c r="B104" i="3"/>
  <c r="C104" i="3"/>
  <c r="B105" i="3"/>
  <c r="C105" i="3"/>
  <c r="B106" i="3"/>
  <c r="C106" i="3"/>
  <c r="B107" i="3"/>
  <c r="C107" i="3"/>
  <c r="B108" i="3"/>
  <c r="C108" i="3"/>
  <c r="B109" i="3"/>
  <c r="C109" i="3"/>
  <c r="B110" i="3"/>
  <c r="C110" i="3"/>
  <c r="B14" i="3"/>
  <c r="C14" i="3"/>
  <c r="D37" i="22" l="1"/>
  <c r="E37" i="22"/>
  <c r="Q21" i="18"/>
  <c r="M21" i="18"/>
  <c r="L21" i="18" s="1"/>
  <c r="P21" i="18" s="1"/>
  <c r="O111" i="3"/>
  <c r="H111" i="3"/>
  <c r="D61" i="22"/>
  <c r="E61" i="22"/>
  <c r="EA93" i="4"/>
  <c r="EA92" i="4"/>
  <c r="EA91" i="4"/>
  <c r="EA90" i="4"/>
  <c r="M5" i="18"/>
  <c r="H5" i="18"/>
  <c r="I28" i="4"/>
  <c r="I32" i="4" s="1"/>
  <c r="I33" i="4" s="1"/>
  <c r="J28" i="4"/>
  <c r="J32" i="4" s="1"/>
  <c r="J33" i="4" s="1"/>
  <c r="K28" i="4"/>
  <c r="K32" i="4" s="1"/>
  <c r="K33" i="4" s="1"/>
  <c r="L28" i="4"/>
  <c r="L32" i="4" s="1"/>
  <c r="L33" i="4" s="1"/>
  <c r="M28" i="4"/>
  <c r="M32" i="4" s="1"/>
  <c r="M33" i="4" s="1"/>
  <c r="N28" i="4"/>
  <c r="N32" i="4" s="1"/>
  <c r="N33" i="4" s="1"/>
  <c r="O28" i="4"/>
  <c r="O32" i="4" s="1"/>
  <c r="O33" i="4" s="1"/>
  <c r="P28" i="4"/>
  <c r="P32" i="4" s="1"/>
  <c r="P33" i="4" s="1"/>
  <c r="Q28" i="4"/>
  <c r="Q32" i="4" s="1"/>
  <c r="Q33" i="4" s="1"/>
  <c r="R28" i="4"/>
  <c r="R32" i="4" s="1"/>
  <c r="R33" i="4" s="1"/>
  <c r="S28" i="4"/>
  <c r="S32" i="4" s="1"/>
  <c r="S33" i="4" s="1"/>
  <c r="T28" i="4"/>
  <c r="T32" i="4" s="1"/>
  <c r="T33" i="4" s="1"/>
  <c r="U28" i="4"/>
  <c r="U32" i="4" s="1"/>
  <c r="U33" i="4" s="1"/>
  <c r="V28" i="4"/>
  <c r="V32" i="4" s="1"/>
  <c r="V33" i="4" s="1"/>
  <c r="W28" i="4"/>
  <c r="W32" i="4" s="1"/>
  <c r="W33" i="4" s="1"/>
  <c r="X28" i="4"/>
  <c r="X32" i="4" s="1"/>
  <c r="X33" i="4" s="1"/>
  <c r="Y28" i="4"/>
  <c r="Y32" i="4" s="1"/>
  <c r="Y33" i="4" s="1"/>
  <c r="Z28" i="4"/>
  <c r="Z32" i="4" s="1"/>
  <c r="Z33" i="4" s="1"/>
  <c r="AB28" i="4"/>
  <c r="AB32" i="4" s="1"/>
  <c r="AB33" i="4" s="1"/>
  <c r="AC28" i="4"/>
  <c r="AC32" i="4" s="1"/>
  <c r="AC33" i="4" s="1"/>
  <c r="AD28" i="4"/>
  <c r="AD32" i="4" s="1"/>
  <c r="AD33" i="4" s="1"/>
  <c r="AE28" i="4"/>
  <c r="AE32" i="4" s="1"/>
  <c r="AE33" i="4" s="1"/>
  <c r="AF28" i="4"/>
  <c r="AF32" i="4" s="1"/>
  <c r="AF33" i="4" s="1"/>
  <c r="AG28" i="4"/>
  <c r="AG32" i="4" s="1"/>
  <c r="AG33" i="4" s="1"/>
  <c r="AH28" i="4"/>
  <c r="AH32" i="4" s="1"/>
  <c r="AH33" i="4" s="1"/>
  <c r="AI28" i="4"/>
  <c r="AI32" i="4" s="1"/>
  <c r="AI33" i="4" s="1"/>
  <c r="AJ28" i="4"/>
  <c r="AJ32" i="4" s="1"/>
  <c r="AJ33" i="4" s="1"/>
  <c r="AK28" i="4"/>
  <c r="AK32" i="4" s="1"/>
  <c r="AK33" i="4" s="1"/>
  <c r="AL28" i="4"/>
  <c r="AL32" i="4" s="1"/>
  <c r="AL33" i="4" s="1"/>
  <c r="E28" i="4"/>
  <c r="E32" i="4" s="1"/>
  <c r="E33" i="4" s="1"/>
  <c r="F28" i="4"/>
  <c r="F32" i="4" s="1"/>
  <c r="F33" i="4" s="1"/>
  <c r="G28" i="4"/>
  <c r="G32" i="4" s="1"/>
  <c r="G33" i="4" s="1"/>
  <c r="D28" i="4"/>
  <c r="H28" i="4"/>
  <c r="H32" i="4" s="1"/>
  <c r="H33" i="4" s="1"/>
  <c r="L111" i="3"/>
  <c r="D32" i="4" l="1"/>
  <c r="D33" i="4" s="1"/>
  <c r="L5" i="18"/>
  <c r="I5" i="18" s="1"/>
  <c r="G21" i="18"/>
  <c r="I21" i="18"/>
  <c r="EA94" i="4"/>
  <c r="D91" i="22"/>
  <c r="E91" i="22"/>
  <c r="I111" i="3"/>
  <c r="F111" i="3" s="1"/>
  <c r="EJ93" i="4"/>
  <c r="EJ92" i="4"/>
  <c r="EJ91" i="4"/>
  <c r="EJ90" i="4"/>
  <c r="D111" i="3" l="1"/>
  <c r="G5" i="18"/>
  <c r="EJ94" i="4"/>
  <c r="D6" i="8"/>
  <c r="E17" i="8" s="1"/>
  <c r="D7" i="8"/>
  <c r="D8" i="8"/>
  <c r="M14" i="18"/>
  <c r="L14" i="18" s="1"/>
  <c r="I14" i="18" l="1"/>
  <c r="G14" i="18"/>
  <c r="D19" i="8"/>
  <c r="P4" i="10"/>
  <c r="T4" i="10" s="1"/>
  <c r="M18" i="18"/>
  <c r="L18" i="18" s="1"/>
  <c r="O110" i="3"/>
  <c r="H110" i="3"/>
  <c r="EF93" i="4"/>
  <c r="EF92" i="4"/>
  <c r="EF91" i="4"/>
  <c r="EF90" i="4"/>
  <c r="EE93" i="4"/>
  <c r="ED93" i="4"/>
  <c r="EE92" i="4"/>
  <c r="ED92" i="4"/>
  <c r="EE91" i="4"/>
  <c r="ED91" i="4"/>
  <c r="EE90" i="4"/>
  <c r="ED90" i="4"/>
  <c r="EI93" i="4"/>
  <c r="EI92" i="4"/>
  <c r="EI91" i="4"/>
  <c r="EI90" i="4"/>
  <c r="EH93" i="4"/>
  <c r="EH92" i="4"/>
  <c r="EH91" i="4"/>
  <c r="EH90" i="4"/>
  <c r="EG93" i="4"/>
  <c r="EG92" i="4"/>
  <c r="EG91" i="4"/>
  <c r="EG90" i="4"/>
  <c r="EC93" i="4"/>
  <c r="EC92" i="4"/>
  <c r="EC91" i="4"/>
  <c r="EC90" i="4"/>
  <c r="EB93" i="4"/>
  <c r="EB92" i="4"/>
  <c r="EB91" i="4"/>
  <c r="EB90" i="4"/>
  <c r="P5" i="10" l="1"/>
  <c r="P6" i="10" s="1"/>
  <c r="P7" i="10" s="1"/>
  <c r="P8" i="10" s="1"/>
  <c r="P9" i="10" s="1"/>
  <c r="P10" i="10" s="1"/>
  <c r="P11" i="10" s="1"/>
  <c r="P12" i="10" s="1"/>
  <c r="P13" i="10" s="1"/>
  <c r="P14" i="10" s="1"/>
  <c r="P15" i="10" s="1"/>
  <c r="P16" i="10" s="1"/>
  <c r="P17" i="10" s="1"/>
  <c r="P18" i="10" s="1"/>
  <c r="P19" i="10" s="1"/>
  <c r="P20" i="10" s="1"/>
  <c r="G18" i="18"/>
  <c r="I18" i="18"/>
  <c r="ED94" i="4"/>
  <c r="EB94" i="4"/>
  <c r="EC94" i="4"/>
  <c r="EG94" i="4"/>
  <c r="EH94" i="4"/>
  <c r="EI94" i="4"/>
  <c r="EF94" i="4"/>
  <c r="EE94" i="4"/>
  <c r="T5" i="10"/>
  <c r="T6" i="10" s="1"/>
  <c r="T7" i="10" s="1"/>
  <c r="T8" i="10" s="1"/>
  <c r="T9" i="10" s="1"/>
  <c r="T10" i="10" s="1"/>
  <c r="T11" i="10" s="1"/>
  <c r="T12" i="10" s="1"/>
  <c r="T13" i="10" s="1"/>
  <c r="T14" i="10" s="1"/>
  <c r="T15" i="10" s="1"/>
  <c r="T16" i="10" s="1"/>
  <c r="T17" i="10" s="1"/>
  <c r="T18" i="10" s="1"/>
  <c r="T19" i="10" s="1"/>
  <c r="T20" i="10" s="1"/>
  <c r="U4" i="10"/>
  <c r="U5" i="10" s="1"/>
  <c r="U6" i="10" s="1"/>
  <c r="U7" i="10" s="1"/>
  <c r="U8" i="10" s="1"/>
  <c r="U9" i="10" s="1"/>
  <c r="U10" i="10" s="1"/>
  <c r="U11" i="10" s="1"/>
  <c r="U12" i="10" s="1"/>
  <c r="U13" i="10" s="1"/>
  <c r="U14" i="10" s="1"/>
  <c r="U15" i="10" s="1"/>
  <c r="U16" i="10" s="1"/>
  <c r="U17" i="10" s="1"/>
  <c r="U18" i="10" s="1"/>
  <c r="U19" i="10" s="1"/>
  <c r="U20" i="10" s="1"/>
  <c r="E96" i="4" l="1"/>
  <c r="L17" i="18" l="1"/>
  <c r="C17" i="18"/>
  <c r="I17" i="18" l="1"/>
  <c r="G17" i="18"/>
  <c r="D17" i="18"/>
  <c r="F110" i="3"/>
  <c r="D110" i="3" l="1"/>
  <c r="O109" i="3"/>
  <c r="L109" i="3" l="1"/>
  <c r="H109" i="3"/>
  <c r="V114" i="4"/>
  <c r="V113" i="4"/>
  <c r="V112" i="4"/>
  <c r="V111" i="4"/>
  <c r="X114" i="4"/>
  <c r="X113" i="4"/>
  <c r="X112" i="4"/>
  <c r="X111" i="4"/>
  <c r="W114" i="4"/>
  <c r="W113" i="4"/>
  <c r="W112" i="4"/>
  <c r="W111" i="4"/>
  <c r="Y114" i="4"/>
  <c r="Y113" i="4"/>
  <c r="Y112" i="4"/>
  <c r="Y111" i="4"/>
  <c r="Z114" i="4"/>
  <c r="Z113" i="4"/>
  <c r="Z112" i="4"/>
  <c r="Z111" i="4"/>
  <c r="AB114" i="4"/>
  <c r="AB113" i="4"/>
  <c r="AB112" i="4"/>
  <c r="AB111" i="4"/>
  <c r="AA114" i="4"/>
  <c r="AA113" i="4"/>
  <c r="AA112" i="4"/>
  <c r="AA111" i="4"/>
  <c r="AD114" i="4"/>
  <c r="AD113" i="4"/>
  <c r="AD112" i="4"/>
  <c r="AD111" i="4"/>
  <c r="AC114" i="4"/>
  <c r="AC113" i="4"/>
  <c r="AC112" i="4"/>
  <c r="AC111" i="4"/>
  <c r="EK93" i="4"/>
  <c r="EK92" i="4"/>
  <c r="EK91" i="4"/>
  <c r="EK90" i="4"/>
  <c r="AE114" i="4"/>
  <c r="AE113" i="4"/>
  <c r="AE112" i="4"/>
  <c r="AE111" i="4"/>
  <c r="AF114" i="4"/>
  <c r="AF113" i="4"/>
  <c r="AF112" i="4"/>
  <c r="AF111" i="4"/>
  <c r="AI114" i="4"/>
  <c r="AI113" i="4"/>
  <c r="AI112" i="4"/>
  <c r="AI111" i="4"/>
  <c r="AG114" i="4"/>
  <c r="AG113" i="4"/>
  <c r="AG112" i="4"/>
  <c r="AG111" i="4"/>
  <c r="AH114" i="4"/>
  <c r="AH113" i="4"/>
  <c r="AH112" i="4"/>
  <c r="AH111" i="4"/>
  <c r="EL93" i="4"/>
  <c r="EL92" i="4"/>
  <c r="EL91" i="4"/>
  <c r="EL90" i="4"/>
  <c r="AJ114" i="4"/>
  <c r="AJ113" i="4"/>
  <c r="AJ112" i="4"/>
  <c r="AJ111" i="4"/>
  <c r="O20" i="18"/>
  <c r="I115" i="3"/>
  <c r="F115" i="3" s="1"/>
  <c r="D115" i="3" s="1"/>
  <c r="EL94" i="4" l="1"/>
  <c r="EK94" i="4"/>
  <c r="V115" i="4"/>
  <c r="V116" i="4" s="1"/>
  <c r="X115" i="4"/>
  <c r="X116" i="4" s="1"/>
  <c r="W115" i="4"/>
  <c r="W116" i="4" s="1"/>
  <c r="Y115" i="4"/>
  <c r="Y116" i="4" s="1"/>
  <c r="Z115" i="4"/>
  <c r="Z116" i="4" s="1"/>
  <c r="AB115" i="4"/>
  <c r="AB116" i="4" s="1"/>
  <c r="AA115" i="4"/>
  <c r="AA116" i="4" s="1"/>
  <c r="AE115" i="4"/>
  <c r="AE116" i="4" s="1"/>
  <c r="AD115" i="4"/>
  <c r="AD116" i="4" s="1"/>
  <c r="AC115" i="4"/>
  <c r="AC116" i="4" s="1"/>
  <c r="AF115" i="4"/>
  <c r="AF116" i="4" s="1"/>
  <c r="AJ115" i="4"/>
  <c r="AJ116" i="4" s="1"/>
  <c r="AI115" i="4"/>
  <c r="AI116" i="4" s="1"/>
  <c r="AG115" i="4"/>
  <c r="AG116" i="4" s="1"/>
  <c r="AH115" i="4"/>
  <c r="AH116" i="4" s="1"/>
  <c r="EM93" i="4"/>
  <c r="EM92" i="4"/>
  <c r="EM91" i="4"/>
  <c r="EM90" i="4"/>
  <c r="AK114" i="4"/>
  <c r="AK113" i="4"/>
  <c r="AK112" i="4"/>
  <c r="AK111" i="4"/>
  <c r="O16" i="18"/>
  <c r="O6" i="18"/>
  <c r="I109" i="3"/>
  <c r="F109" i="3" s="1"/>
  <c r="EM94" i="4" l="1"/>
  <c r="AK115" i="4"/>
  <c r="AK116" i="4" s="1"/>
  <c r="D109" i="3" l="1"/>
  <c r="O108" i="3" l="1"/>
  <c r="H108" i="3"/>
  <c r="AO114" i="4"/>
  <c r="AO113" i="4"/>
  <c r="AO112" i="4"/>
  <c r="AO111" i="4"/>
  <c r="AL114" i="4"/>
  <c r="AL113" i="4"/>
  <c r="AL112" i="4"/>
  <c r="AL111" i="4"/>
  <c r="EO93" i="4"/>
  <c r="EO92" i="4"/>
  <c r="EO91" i="4"/>
  <c r="EO90" i="4"/>
  <c r="EP93" i="4"/>
  <c r="EP92" i="4"/>
  <c r="EP91" i="4"/>
  <c r="EP90" i="4"/>
  <c r="EQ93" i="4"/>
  <c r="EQ92" i="4"/>
  <c r="EQ91" i="4"/>
  <c r="EQ90" i="4"/>
  <c r="ER93" i="4"/>
  <c r="ER92" i="4"/>
  <c r="ER91" i="4"/>
  <c r="ER90" i="4"/>
  <c r="ES93" i="4"/>
  <c r="ES92" i="4"/>
  <c r="ES91" i="4"/>
  <c r="ES90" i="4"/>
  <c r="ET93" i="4"/>
  <c r="ET94" i="4" s="1"/>
  <c r="ET92" i="4"/>
  <c r="ET91" i="4"/>
  <c r="ET90" i="4"/>
  <c r="D75" i="22"/>
  <c r="E75" i="22"/>
  <c r="ES94" i="4" l="1"/>
  <c r="ER94" i="4"/>
  <c r="EQ94" i="4"/>
  <c r="EP94" i="4"/>
  <c r="EO94" i="4"/>
  <c r="AO115" i="4"/>
  <c r="AO116" i="4" s="1"/>
  <c r="AL115" i="4"/>
  <c r="AL116" i="4" s="1"/>
  <c r="EU93" i="4"/>
  <c r="EU92" i="4"/>
  <c r="EU91" i="4"/>
  <c r="EU90" i="4"/>
  <c r="EU94" i="4" l="1"/>
  <c r="EV93" i="4"/>
  <c r="EV92" i="4"/>
  <c r="EV91" i="4"/>
  <c r="EV90" i="4"/>
  <c r="EN93" i="4"/>
  <c r="EN92" i="4"/>
  <c r="EN91" i="4"/>
  <c r="EN90" i="4"/>
  <c r="EN94" i="4" l="1"/>
  <c r="EV94" i="4"/>
  <c r="AM114" i="4"/>
  <c r="AM113" i="4"/>
  <c r="AM112" i="4"/>
  <c r="AM111" i="4"/>
  <c r="EW93" i="4"/>
  <c r="EW92" i="4"/>
  <c r="EW91" i="4"/>
  <c r="EW90" i="4"/>
  <c r="EX93" i="4"/>
  <c r="EX92" i="4"/>
  <c r="EX91" i="4"/>
  <c r="EX90" i="4"/>
  <c r="AN114" i="4"/>
  <c r="AN113" i="4"/>
  <c r="AN112" i="4"/>
  <c r="AN111" i="4"/>
  <c r="AP114" i="4"/>
  <c r="AP113" i="4"/>
  <c r="AP112" i="4"/>
  <c r="AP111" i="4"/>
  <c r="AQ114" i="4"/>
  <c r="AQ113" i="4"/>
  <c r="AQ112" i="4"/>
  <c r="AQ111" i="4"/>
  <c r="AR114" i="4"/>
  <c r="AR113" i="4"/>
  <c r="AR112" i="4"/>
  <c r="AR111" i="4"/>
  <c r="AS114" i="4"/>
  <c r="AS113" i="4"/>
  <c r="AS112" i="4"/>
  <c r="AS111" i="4"/>
  <c r="EY93" i="4"/>
  <c r="EY92" i="4"/>
  <c r="EY91" i="4"/>
  <c r="EY90" i="4"/>
  <c r="EY94" i="4" l="1"/>
  <c r="EX94" i="4"/>
  <c r="EW94" i="4"/>
  <c r="AM115" i="4"/>
  <c r="AM116" i="4" s="1"/>
  <c r="AN115" i="4"/>
  <c r="AN116" i="4" s="1"/>
  <c r="AP115" i="4"/>
  <c r="AP116" i="4" s="1"/>
  <c r="AQ115" i="4"/>
  <c r="AQ116" i="4" s="1"/>
  <c r="AR115" i="4"/>
  <c r="AR116" i="4" s="1"/>
  <c r="AS115" i="4"/>
  <c r="AS116" i="4" s="1"/>
  <c r="F108" i="3"/>
  <c r="D108" i="3" s="1"/>
  <c r="AT114" i="4"/>
  <c r="AT113" i="4"/>
  <c r="AT112" i="4"/>
  <c r="AT111" i="4"/>
  <c r="AT115" i="4" l="1"/>
  <c r="AT116" i="4" s="1"/>
  <c r="O107" i="3"/>
  <c r="H107" i="3"/>
  <c r="FA93" i="4"/>
  <c r="FA92" i="4"/>
  <c r="FA91" i="4"/>
  <c r="FA90" i="4"/>
  <c r="AU114" i="4"/>
  <c r="AU113" i="4"/>
  <c r="AU112" i="4"/>
  <c r="AU111" i="4"/>
  <c r="EZ93" i="4"/>
  <c r="EZ92" i="4"/>
  <c r="EZ91" i="4"/>
  <c r="EZ90" i="4"/>
  <c r="AV114" i="4"/>
  <c r="AV113" i="4"/>
  <c r="AV112" i="4"/>
  <c r="AV111" i="4"/>
  <c r="EZ94" i="4" l="1"/>
  <c r="FA94" i="4"/>
  <c r="AU115" i="4"/>
  <c r="AU116" i="4" s="1"/>
  <c r="AV115" i="4"/>
  <c r="AV116" i="4" s="1"/>
  <c r="R94" i="3" l="1"/>
  <c r="P94" i="3"/>
  <c r="F107" i="3"/>
  <c r="D107" i="3" l="1"/>
  <c r="Q20" i="18" l="1"/>
  <c r="FB93" i="4"/>
  <c r="FB92" i="4"/>
  <c r="FB91" i="4"/>
  <c r="FB90" i="4"/>
  <c r="FC93" i="4"/>
  <c r="FC92" i="4"/>
  <c r="FC91" i="4"/>
  <c r="FC90" i="4"/>
  <c r="FD93" i="4"/>
  <c r="FD92" i="4"/>
  <c r="FD91" i="4"/>
  <c r="FD90" i="4"/>
  <c r="FE93" i="4"/>
  <c r="FE92" i="4"/>
  <c r="FE91" i="4"/>
  <c r="FE90" i="4"/>
  <c r="FF93" i="4"/>
  <c r="FF92" i="4"/>
  <c r="FF91" i="4"/>
  <c r="FF90" i="4"/>
  <c r="FE94" i="4" l="1"/>
  <c r="FC94" i="4"/>
  <c r="FF94" i="4"/>
  <c r="FB94" i="4"/>
  <c r="H106" i="3"/>
  <c r="F106" i="3" s="1"/>
  <c r="D106" i="3" s="1"/>
  <c r="FD94" i="4"/>
  <c r="O106" i="3"/>
  <c r="FG93" i="4"/>
  <c r="FG92" i="4"/>
  <c r="FG91" i="4"/>
  <c r="FG90" i="4"/>
  <c r="O105" i="3"/>
  <c r="FH93" i="4"/>
  <c r="FH92" i="4"/>
  <c r="FH91" i="4"/>
  <c r="FH90" i="4"/>
  <c r="FI93" i="4"/>
  <c r="FI92" i="4"/>
  <c r="FI91" i="4"/>
  <c r="FI90" i="4"/>
  <c r="H105" i="3"/>
  <c r="FJ93" i="4"/>
  <c r="FJ92" i="4"/>
  <c r="FJ91" i="4"/>
  <c r="FJ90" i="4"/>
  <c r="V69" i="4"/>
  <c r="V68" i="4"/>
  <c r="V63" i="4"/>
  <c r="V62" i="4"/>
  <c r="V64" i="4" s="1"/>
  <c r="U69" i="4"/>
  <c r="U68" i="4"/>
  <c r="U63" i="4"/>
  <c r="U62" i="4"/>
  <c r="U66" i="4" s="1"/>
  <c r="AW114" i="4"/>
  <c r="AW113" i="4"/>
  <c r="AW112" i="4"/>
  <c r="AW111" i="4"/>
  <c r="AX114" i="4"/>
  <c r="AX113" i="4"/>
  <c r="AX112" i="4"/>
  <c r="AX111" i="4"/>
  <c r="FJ94" i="4" l="1"/>
  <c r="FI94" i="4"/>
  <c r="FH94" i="4"/>
  <c r="FG94" i="4"/>
  <c r="V65" i="4"/>
  <c r="V70" i="4" s="1"/>
  <c r="V72" i="4"/>
  <c r="V66" i="4"/>
  <c r="U64" i="4"/>
  <c r="U72" i="4" s="1"/>
  <c r="AW115" i="4"/>
  <c r="AW116" i="4" s="1"/>
  <c r="AX115" i="4"/>
  <c r="AX116" i="4" s="1"/>
  <c r="V71" i="4" l="1"/>
  <c r="V67" i="4"/>
  <c r="U65" i="4"/>
  <c r="U70" i="4" s="1"/>
  <c r="U71" i="4" s="1"/>
  <c r="F105" i="3"/>
  <c r="T63" i="4"/>
  <c r="T62" i="4"/>
  <c r="T64" i="4" s="1"/>
  <c r="T68" i="4" l="1"/>
  <c r="U67" i="4"/>
  <c r="D105" i="3"/>
  <c r="T65" i="4"/>
  <c r="T72" i="4"/>
  <c r="T66" i="4"/>
  <c r="O104" i="3"/>
  <c r="FK93" i="4"/>
  <c r="FK92" i="4"/>
  <c r="FK91" i="4"/>
  <c r="FK90" i="4"/>
  <c r="FL93" i="4"/>
  <c r="FL92" i="4"/>
  <c r="FL91" i="4"/>
  <c r="FL90" i="4"/>
  <c r="FM93" i="4"/>
  <c r="FM92" i="4"/>
  <c r="FM91" i="4"/>
  <c r="FM90" i="4"/>
  <c r="FN93" i="4"/>
  <c r="FN92" i="4"/>
  <c r="FN91" i="4"/>
  <c r="FN90" i="4"/>
  <c r="FO93" i="4"/>
  <c r="FO92" i="4"/>
  <c r="FO91" i="4"/>
  <c r="FO90" i="4"/>
  <c r="FP93" i="4"/>
  <c r="FP92" i="4"/>
  <c r="FP91" i="4"/>
  <c r="FP90" i="4"/>
  <c r="FQ93" i="4"/>
  <c r="FQ92" i="4"/>
  <c r="FQ91" i="4"/>
  <c r="FQ90" i="4"/>
  <c r="T70" i="4" l="1"/>
  <c r="T71" i="4" s="1"/>
  <c r="T69" i="4"/>
  <c r="FQ94" i="4"/>
  <c r="FP94" i="4"/>
  <c r="FO94" i="4"/>
  <c r="FN94" i="4"/>
  <c r="FM94" i="4"/>
  <c r="FL94" i="4"/>
  <c r="FK94" i="4"/>
  <c r="H104" i="3"/>
  <c r="T67" i="4"/>
  <c r="E20" i="18" l="1"/>
  <c r="P20" i="18"/>
  <c r="S69" i="4"/>
  <c r="S68" i="4"/>
  <c r="S63" i="4"/>
  <c r="S62" i="4"/>
  <c r="S66" i="4" s="1"/>
  <c r="O103" i="3"/>
  <c r="H103" i="3"/>
  <c r="I104" i="3"/>
  <c r="F104" i="3" s="1"/>
  <c r="D104" i="3" s="1"/>
  <c r="AY114" i="4"/>
  <c r="AY113" i="4"/>
  <c r="AY112" i="4"/>
  <c r="AY111" i="4"/>
  <c r="AZ114" i="4"/>
  <c r="AZ113" i="4"/>
  <c r="AZ112" i="4"/>
  <c r="AZ111" i="4"/>
  <c r="Q19" i="18"/>
  <c r="BA114" i="4"/>
  <c r="BA113" i="4"/>
  <c r="BA112" i="4"/>
  <c r="BA111" i="4"/>
  <c r="BB114" i="4"/>
  <c r="BB113" i="4"/>
  <c r="BB112" i="4"/>
  <c r="BB111" i="4"/>
  <c r="L19" i="18" l="1"/>
  <c r="E19" i="18" s="1"/>
  <c r="D19" i="18"/>
  <c r="S64" i="4"/>
  <c r="S65" i="4" s="1"/>
  <c r="S67" i="4" s="1"/>
  <c r="AY115" i="4"/>
  <c r="AY116" i="4" s="1"/>
  <c r="AZ115" i="4"/>
  <c r="AZ116" i="4" s="1"/>
  <c r="BA115" i="4"/>
  <c r="BA116" i="4" s="1"/>
  <c r="BB115" i="4"/>
  <c r="BB116" i="4" s="1"/>
  <c r="FR93" i="4"/>
  <c r="FR92" i="4"/>
  <c r="FR91" i="4"/>
  <c r="FR90" i="4"/>
  <c r="FS93" i="4"/>
  <c r="FS92" i="4"/>
  <c r="FS91" i="4"/>
  <c r="FS90" i="4"/>
  <c r="F103" i="3"/>
  <c r="D103" i="3" s="1"/>
  <c r="I19" i="18" l="1"/>
  <c r="G19" i="18"/>
  <c r="S72" i="4"/>
  <c r="S70" i="4"/>
  <c r="S71" i="4" s="1"/>
  <c r="FS94" i="4"/>
  <c r="FR94" i="4"/>
  <c r="P19" i="18"/>
  <c r="I102" i="3"/>
  <c r="O102" i="3"/>
  <c r="FT93" i="4" l="1"/>
  <c r="FT92" i="4"/>
  <c r="FT91" i="4"/>
  <c r="FT90" i="4"/>
  <c r="FU93" i="4"/>
  <c r="FU92" i="4"/>
  <c r="FU91" i="4"/>
  <c r="FU90" i="4"/>
  <c r="FV93" i="4"/>
  <c r="FV92" i="4"/>
  <c r="FV91" i="4"/>
  <c r="FV90" i="4"/>
  <c r="FW93" i="4"/>
  <c r="FW92" i="4"/>
  <c r="FW91" i="4"/>
  <c r="FW90" i="4"/>
  <c r="FX93" i="4"/>
  <c r="FX92" i="4"/>
  <c r="FX91" i="4"/>
  <c r="FX90" i="4"/>
  <c r="FX94" i="4" l="1"/>
  <c r="FW94" i="4"/>
  <c r="FV94" i="4"/>
  <c r="FU94" i="4"/>
  <c r="FT94" i="4"/>
  <c r="H102" i="3"/>
  <c r="C18" i="18"/>
  <c r="D18" i="18" s="1"/>
  <c r="Q18" i="18"/>
  <c r="E18" i="18" l="1"/>
  <c r="P18" i="18"/>
  <c r="F102" i="3"/>
  <c r="D102" i="3" s="1"/>
  <c r="D67" i="22" l="1"/>
  <c r="E67" i="22"/>
  <c r="D78" i="22"/>
  <c r="E78" i="22"/>
  <c r="D69" i="22"/>
  <c r="E69" i="22"/>
  <c r="D9" i="22"/>
  <c r="E9" i="22"/>
  <c r="G82" i="22"/>
  <c r="D82" i="22"/>
  <c r="E82" i="22"/>
  <c r="H101" i="3"/>
  <c r="FY93" i="4"/>
  <c r="FY92" i="4"/>
  <c r="FY91" i="4"/>
  <c r="FY90" i="4"/>
  <c r="FZ93" i="4"/>
  <c r="FZ92" i="4"/>
  <c r="FZ91" i="4"/>
  <c r="FZ90" i="4"/>
  <c r="GA93" i="4"/>
  <c r="GA92" i="4"/>
  <c r="GA91" i="4"/>
  <c r="GA90" i="4"/>
  <c r="GB93" i="4"/>
  <c r="GB92" i="4"/>
  <c r="GB91" i="4"/>
  <c r="GB90" i="4"/>
  <c r="GB94" i="4" l="1"/>
  <c r="GA94" i="4"/>
  <c r="FZ94" i="4"/>
  <c r="FY94" i="4"/>
  <c r="O101" i="3"/>
  <c r="GC93" i="4" l="1"/>
  <c r="GC92" i="4"/>
  <c r="GC91" i="4"/>
  <c r="GC90" i="4"/>
  <c r="GC94" i="4" l="1"/>
  <c r="GD93" i="4"/>
  <c r="GD92" i="4"/>
  <c r="GD91" i="4"/>
  <c r="GD90" i="4"/>
  <c r="GD94" i="4" l="1"/>
  <c r="I101" i="3"/>
  <c r="F101" i="3" s="1"/>
  <c r="D101" i="3" s="1"/>
  <c r="Q17" i="18"/>
  <c r="H100" i="3"/>
  <c r="E17" i="18" l="1"/>
  <c r="P17" i="18"/>
  <c r="D23" i="17"/>
  <c r="D24" i="17"/>
  <c r="D25" i="17"/>
  <c r="D26" i="17"/>
  <c r="D27" i="17"/>
  <c r="D28" i="17"/>
  <c r="D29" i="17"/>
  <c r="D30" i="17"/>
  <c r="D31" i="17"/>
  <c r="O100" i="3"/>
  <c r="GE93" i="4"/>
  <c r="GE92" i="4"/>
  <c r="GE91" i="4"/>
  <c r="GE90" i="4"/>
  <c r="GE94" i="4" l="1"/>
  <c r="Q16" i="18"/>
  <c r="P16" i="18" l="1"/>
  <c r="D77" i="22"/>
  <c r="E77" i="22"/>
  <c r="GF93" i="4"/>
  <c r="GF92" i="4"/>
  <c r="GF91" i="4"/>
  <c r="GF90" i="4"/>
  <c r="GG93" i="4"/>
  <c r="GG92" i="4"/>
  <c r="GG91" i="4"/>
  <c r="GG90" i="4"/>
  <c r="GH93" i="4"/>
  <c r="GH92" i="4"/>
  <c r="GH91" i="4"/>
  <c r="GH90" i="4"/>
  <c r="GI93" i="4"/>
  <c r="GI92" i="4"/>
  <c r="GI91" i="4"/>
  <c r="GI90" i="4"/>
  <c r="I100" i="3"/>
  <c r="F100" i="3" s="1"/>
  <c r="D100" i="3" s="1"/>
  <c r="BC114" i="4"/>
  <c r="BC113" i="4"/>
  <c r="BC112" i="4"/>
  <c r="BC111" i="4"/>
  <c r="O99" i="3" l="1"/>
  <c r="GF94" i="4"/>
  <c r="GI94" i="4"/>
  <c r="GH94" i="4"/>
  <c r="GG94" i="4"/>
  <c r="H99" i="3"/>
  <c r="BC115" i="4"/>
  <c r="BC116" i="4" s="1"/>
  <c r="P133" i="3" l="1"/>
  <c r="R133" i="3"/>
  <c r="I92" i="3"/>
  <c r="GJ93" i="4"/>
  <c r="GJ92" i="4"/>
  <c r="GJ91" i="4"/>
  <c r="GJ90" i="4"/>
  <c r="H13" i="21"/>
  <c r="GK93" i="4"/>
  <c r="GK92" i="4"/>
  <c r="GK91" i="4"/>
  <c r="GK90" i="4"/>
  <c r="GL93" i="4"/>
  <c r="GL92" i="4"/>
  <c r="GL91" i="4"/>
  <c r="GL90" i="4"/>
  <c r="M9" i="21"/>
  <c r="N9" i="21" s="1"/>
  <c r="M10" i="21"/>
  <c r="N10" i="21" s="1"/>
  <c r="M11" i="21"/>
  <c r="O11" i="21" s="1"/>
  <c r="M12" i="21"/>
  <c r="N12" i="21" s="1"/>
  <c r="M13" i="21"/>
  <c r="O13" i="21" s="1"/>
  <c r="M8" i="21"/>
  <c r="N8" i="21" s="1"/>
  <c r="F9" i="21"/>
  <c r="G9" i="21" s="1"/>
  <c r="F10" i="21"/>
  <c r="G10" i="21" s="1"/>
  <c r="F11" i="21"/>
  <c r="G11" i="21" s="1"/>
  <c r="F12" i="21"/>
  <c r="G12" i="21" s="1"/>
  <c r="F13" i="21"/>
  <c r="G13" i="21" s="1"/>
  <c r="F8" i="21"/>
  <c r="G8" i="21" s="1"/>
  <c r="O12" i="21" l="1"/>
  <c r="N11" i="21"/>
  <c r="N13" i="21"/>
  <c r="GL94" i="4"/>
  <c r="GK94" i="4"/>
  <c r="GJ94" i="4"/>
  <c r="F99" i="3"/>
  <c r="D99" i="3" s="1"/>
  <c r="GM93" i="4"/>
  <c r="GM92" i="4"/>
  <c r="GM91" i="4"/>
  <c r="GM90" i="4"/>
  <c r="GN93" i="4"/>
  <c r="GN92" i="4"/>
  <c r="GN91" i="4"/>
  <c r="GN90" i="4"/>
  <c r="GO93" i="4"/>
  <c r="GO92" i="4"/>
  <c r="GO91" i="4"/>
  <c r="GO90" i="4"/>
  <c r="GM94" i="4" l="1"/>
  <c r="GO94" i="4"/>
  <c r="GN94" i="4"/>
  <c r="GP93" i="4"/>
  <c r="GP92" i="4"/>
  <c r="GP91" i="4"/>
  <c r="GP90" i="4"/>
  <c r="E8" i="17"/>
  <c r="E9" i="17"/>
  <c r="E10" i="17"/>
  <c r="E11" i="17"/>
  <c r="E12" i="17"/>
  <c r="E13" i="17"/>
  <c r="E14" i="17"/>
  <c r="E15" i="17"/>
  <c r="E7" i="17"/>
  <c r="C17" i="17"/>
  <c r="E17" i="17" s="1"/>
  <c r="C16" i="17"/>
  <c r="E16" i="17" s="1"/>
  <c r="Q15" i="18"/>
  <c r="P15" i="18"/>
  <c r="GQ93" i="4"/>
  <c r="GQ92" i="4"/>
  <c r="GQ91" i="4"/>
  <c r="GQ90" i="4"/>
  <c r="GP94" i="4" l="1"/>
  <c r="GQ94" i="4"/>
  <c r="BD114" i="4"/>
  <c r="BD113" i="4"/>
  <c r="BD112" i="4"/>
  <c r="BD111" i="4"/>
  <c r="BD115" i="4" l="1"/>
  <c r="BD116" i="4" s="1"/>
  <c r="GR93" i="4"/>
  <c r="GR92" i="4"/>
  <c r="GR91" i="4"/>
  <c r="GR90" i="4"/>
  <c r="GS93" i="4"/>
  <c r="GS92" i="4"/>
  <c r="GS91" i="4"/>
  <c r="GS90" i="4"/>
  <c r="GT93" i="4"/>
  <c r="GT92" i="4"/>
  <c r="GT91" i="4"/>
  <c r="GT90" i="4"/>
  <c r="GU93" i="4"/>
  <c r="GU92" i="4"/>
  <c r="GU91" i="4"/>
  <c r="GU90" i="4"/>
  <c r="GU94" i="4" l="1"/>
  <c r="GT94" i="4"/>
  <c r="GS94" i="4"/>
  <c r="GR94" i="4"/>
  <c r="H98" i="3"/>
  <c r="O98" i="3"/>
  <c r="GV93" i="4"/>
  <c r="GV92" i="4"/>
  <c r="GV91" i="4"/>
  <c r="GV90" i="4"/>
  <c r="G53" i="22"/>
  <c r="D53" i="22"/>
  <c r="E53" i="22"/>
  <c r="GV94" i="4" l="1"/>
  <c r="GW93" i="4"/>
  <c r="GW92" i="4"/>
  <c r="GW91" i="4"/>
  <c r="GW90" i="4"/>
  <c r="GX93" i="4"/>
  <c r="GX92" i="4"/>
  <c r="GX91" i="4"/>
  <c r="GX90" i="4"/>
  <c r="I67" i="11"/>
  <c r="I66" i="11"/>
  <c r="I65" i="11"/>
  <c r="I64" i="11"/>
  <c r="AN88" i="23"/>
  <c r="AM88" i="23"/>
  <c r="AL88" i="23"/>
  <c r="AK88" i="23"/>
  <c r="AJ88" i="23"/>
  <c r="AI88" i="23"/>
  <c r="AH88" i="23"/>
  <c r="AG88" i="23"/>
  <c r="AF88" i="23"/>
  <c r="AE88" i="23"/>
  <c r="AD88" i="23"/>
  <c r="AC88" i="23"/>
  <c r="AB88" i="23"/>
  <c r="AA88" i="23"/>
  <c r="Z88" i="23"/>
  <c r="Y88" i="23"/>
  <c r="X88" i="23"/>
  <c r="W88" i="23"/>
  <c r="V88" i="23"/>
  <c r="U88" i="23"/>
  <c r="T88" i="23"/>
  <c r="S88" i="23"/>
  <c r="R88" i="23"/>
  <c r="Q88" i="23"/>
  <c r="P88" i="23"/>
  <c r="O88" i="23"/>
  <c r="N88" i="23"/>
  <c r="M88" i="23"/>
  <c r="L88" i="23"/>
  <c r="K88" i="23"/>
  <c r="J88" i="23"/>
  <c r="I88" i="23"/>
  <c r="H88" i="23"/>
  <c r="AN87" i="23"/>
  <c r="AM87" i="23"/>
  <c r="AL87" i="23"/>
  <c r="AK87" i="23"/>
  <c r="AJ87" i="23"/>
  <c r="AI87" i="23"/>
  <c r="AH87" i="23"/>
  <c r="AG87" i="23"/>
  <c r="AF87" i="23"/>
  <c r="AE87" i="23"/>
  <c r="AD87" i="23"/>
  <c r="AC87" i="23"/>
  <c r="AB87" i="23"/>
  <c r="AA87" i="23"/>
  <c r="Z87" i="23"/>
  <c r="Y87" i="23"/>
  <c r="X87" i="23"/>
  <c r="W87" i="23"/>
  <c r="V87" i="23"/>
  <c r="U87" i="23"/>
  <c r="T87" i="23"/>
  <c r="S87" i="23"/>
  <c r="R87" i="23"/>
  <c r="Q87" i="23"/>
  <c r="P87" i="23"/>
  <c r="O87" i="23"/>
  <c r="N87" i="23"/>
  <c r="M87" i="23"/>
  <c r="L87" i="23"/>
  <c r="K87" i="23"/>
  <c r="J87" i="23"/>
  <c r="I87" i="23"/>
  <c r="H87" i="23"/>
  <c r="AN86" i="23"/>
  <c r="AM86" i="23"/>
  <c r="AL86" i="23"/>
  <c r="AK86" i="23"/>
  <c r="AJ86" i="23"/>
  <c r="AI86" i="23"/>
  <c r="AH86" i="23"/>
  <c r="AG86" i="23"/>
  <c r="AF86" i="23"/>
  <c r="AE86" i="23"/>
  <c r="AD86" i="23"/>
  <c r="AC86" i="23"/>
  <c r="AB86" i="23"/>
  <c r="AA86" i="23"/>
  <c r="Z86" i="23"/>
  <c r="Y86" i="23"/>
  <c r="X86" i="23"/>
  <c r="W86" i="23"/>
  <c r="V86" i="23"/>
  <c r="U86" i="23"/>
  <c r="T86" i="23"/>
  <c r="S86" i="23"/>
  <c r="R86" i="23"/>
  <c r="Q86" i="23"/>
  <c r="P86" i="23"/>
  <c r="O86" i="23"/>
  <c r="N86" i="23"/>
  <c r="M86" i="23"/>
  <c r="L86" i="23"/>
  <c r="K86" i="23"/>
  <c r="J86" i="23"/>
  <c r="I86" i="23"/>
  <c r="H86" i="23"/>
  <c r="AN85" i="23"/>
  <c r="AM85" i="23"/>
  <c r="AL85" i="23"/>
  <c r="AK85" i="23"/>
  <c r="AJ85" i="23"/>
  <c r="AI85" i="23"/>
  <c r="AH85" i="23"/>
  <c r="AG85" i="23"/>
  <c r="AF85" i="23"/>
  <c r="AE85" i="23"/>
  <c r="AD85" i="23"/>
  <c r="AC85" i="23"/>
  <c r="AB85" i="23"/>
  <c r="AA85" i="23"/>
  <c r="Z85" i="23"/>
  <c r="Y85" i="23"/>
  <c r="X85" i="23"/>
  <c r="W85" i="23"/>
  <c r="V85" i="23"/>
  <c r="U85" i="23"/>
  <c r="T85" i="23"/>
  <c r="S85" i="23"/>
  <c r="R85" i="23"/>
  <c r="Q85" i="23"/>
  <c r="P85" i="23"/>
  <c r="O85" i="23"/>
  <c r="N85" i="23"/>
  <c r="M85" i="23"/>
  <c r="L85" i="23"/>
  <c r="K85" i="23"/>
  <c r="J85" i="23"/>
  <c r="I85" i="23"/>
  <c r="H85" i="23"/>
  <c r="DK67" i="23"/>
  <c r="DJ67" i="23"/>
  <c r="DI67" i="23"/>
  <c r="DH67" i="23"/>
  <c r="DG67" i="23"/>
  <c r="DF67" i="23"/>
  <c r="DE67" i="23"/>
  <c r="DD67" i="23"/>
  <c r="DC67" i="23"/>
  <c r="DB67" i="23"/>
  <c r="DA67" i="23"/>
  <c r="CZ67" i="23"/>
  <c r="CY67" i="23"/>
  <c r="CX67" i="23"/>
  <c r="CW67" i="23"/>
  <c r="CV67" i="23"/>
  <c r="CU67" i="23"/>
  <c r="CT67" i="23"/>
  <c r="CS67" i="23"/>
  <c r="CR67" i="23"/>
  <c r="CQ67" i="23"/>
  <c r="CP67" i="23"/>
  <c r="CO67" i="23"/>
  <c r="CN67" i="23"/>
  <c r="CM67" i="23"/>
  <c r="CL67" i="23"/>
  <c r="CK67" i="23"/>
  <c r="CJ67" i="23"/>
  <c r="CI67" i="23"/>
  <c r="CH67" i="23"/>
  <c r="CG67" i="23"/>
  <c r="CF67" i="23"/>
  <c r="CE67" i="23"/>
  <c r="CD67" i="23"/>
  <c r="CC67" i="23"/>
  <c r="CB67" i="23"/>
  <c r="CA67" i="23"/>
  <c r="BZ67" i="23"/>
  <c r="BY67" i="23"/>
  <c r="BX67" i="23"/>
  <c r="BW67" i="23"/>
  <c r="BV67" i="23"/>
  <c r="BU67" i="23"/>
  <c r="BT67" i="23"/>
  <c r="BS67" i="23"/>
  <c r="BR67" i="23"/>
  <c r="BQ67" i="23"/>
  <c r="BP67" i="23"/>
  <c r="BO67" i="23"/>
  <c r="BN67" i="23"/>
  <c r="BM67" i="23"/>
  <c r="BL67" i="23"/>
  <c r="BK67" i="23"/>
  <c r="BJ67" i="23"/>
  <c r="BI67" i="23"/>
  <c r="BH67" i="23"/>
  <c r="BG67" i="23"/>
  <c r="BF67" i="23"/>
  <c r="BE67" i="23"/>
  <c r="BD67" i="23"/>
  <c r="BC67" i="23"/>
  <c r="BB67" i="23"/>
  <c r="BA67" i="23"/>
  <c r="AZ67" i="23"/>
  <c r="AY67" i="23"/>
  <c r="AX67" i="23"/>
  <c r="AW67" i="23"/>
  <c r="AV67" i="23"/>
  <c r="AU67" i="23"/>
  <c r="AT67" i="23"/>
  <c r="AS67" i="23"/>
  <c r="AR67" i="23"/>
  <c r="AQ67" i="23"/>
  <c r="AP67" i="23"/>
  <c r="AO67" i="23"/>
  <c r="AN67" i="23"/>
  <c r="AM67" i="23"/>
  <c r="AL67" i="23"/>
  <c r="AK67" i="23"/>
  <c r="AJ67" i="23"/>
  <c r="AI67" i="23"/>
  <c r="AH67" i="23"/>
  <c r="AG67" i="23"/>
  <c r="AF67" i="23"/>
  <c r="AE67" i="23"/>
  <c r="AD67" i="23"/>
  <c r="AC67" i="23"/>
  <c r="AB67" i="23"/>
  <c r="AA67" i="23"/>
  <c r="Z67" i="23"/>
  <c r="Y67" i="23"/>
  <c r="X67" i="23"/>
  <c r="W67" i="23"/>
  <c r="V67" i="23"/>
  <c r="U67" i="23"/>
  <c r="T67" i="23"/>
  <c r="S67" i="23"/>
  <c r="R67" i="23"/>
  <c r="Q67" i="23"/>
  <c r="P67" i="23"/>
  <c r="O67" i="23"/>
  <c r="N67" i="23"/>
  <c r="M67" i="23"/>
  <c r="L67" i="23"/>
  <c r="K67" i="23"/>
  <c r="J67" i="23"/>
  <c r="I67" i="23"/>
  <c r="H67" i="23"/>
  <c r="DK66" i="23"/>
  <c r="DJ66" i="23"/>
  <c r="DI66" i="23"/>
  <c r="DH66" i="23"/>
  <c r="DG66" i="23"/>
  <c r="DF66" i="23"/>
  <c r="DE66" i="23"/>
  <c r="DD66" i="23"/>
  <c r="DC66" i="23"/>
  <c r="DB66" i="23"/>
  <c r="DA66" i="23"/>
  <c r="CZ66" i="23"/>
  <c r="CY66" i="23"/>
  <c r="CX66" i="23"/>
  <c r="CW66" i="23"/>
  <c r="CV66" i="23"/>
  <c r="CU66" i="23"/>
  <c r="CT66" i="23"/>
  <c r="CS66" i="23"/>
  <c r="CR66" i="23"/>
  <c r="CQ66" i="23"/>
  <c r="CP66" i="23"/>
  <c r="CO66" i="23"/>
  <c r="CN66" i="23"/>
  <c r="CM66" i="23"/>
  <c r="CL66" i="23"/>
  <c r="CK66" i="23"/>
  <c r="CJ66" i="23"/>
  <c r="CI66" i="23"/>
  <c r="CH66" i="23"/>
  <c r="CG66" i="23"/>
  <c r="CF66" i="23"/>
  <c r="CE66" i="23"/>
  <c r="CD66" i="23"/>
  <c r="CC66" i="23"/>
  <c r="CB66" i="23"/>
  <c r="CA66" i="23"/>
  <c r="BZ66" i="23"/>
  <c r="BY66" i="23"/>
  <c r="BX66" i="23"/>
  <c r="BW66" i="23"/>
  <c r="BV66" i="23"/>
  <c r="BU66" i="23"/>
  <c r="BT66" i="23"/>
  <c r="BS66" i="23"/>
  <c r="BR66" i="23"/>
  <c r="BQ66" i="23"/>
  <c r="BP66" i="23"/>
  <c r="BO66" i="23"/>
  <c r="BN66" i="23"/>
  <c r="BM66" i="23"/>
  <c r="BL66" i="23"/>
  <c r="BK66" i="23"/>
  <c r="BJ66" i="23"/>
  <c r="BI66" i="23"/>
  <c r="BH66" i="23"/>
  <c r="BG66" i="23"/>
  <c r="BF66" i="23"/>
  <c r="BE66" i="23"/>
  <c r="BD66" i="23"/>
  <c r="BC66" i="23"/>
  <c r="BB66" i="23"/>
  <c r="BA66" i="23"/>
  <c r="AZ66" i="23"/>
  <c r="AY66" i="23"/>
  <c r="AX66" i="23"/>
  <c r="AW66" i="23"/>
  <c r="AV66" i="23"/>
  <c r="AU66" i="23"/>
  <c r="AT66" i="23"/>
  <c r="AS66" i="23"/>
  <c r="AR66" i="23"/>
  <c r="AQ66" i="23"/>
  <c r="AP66" i="23"/>
  <c r="AO66" i="23"/>
  <c r="AN66" i="23"/>
  <c r="AM66" i="23"/>
  <c r="AL66" i="23"/>
  <c r="AK66" i="23"/>
  <c r="AJ66" i="23"/>
  <c r="AI66" i="23"/>
  <c r="AH66" i="23"/>
  <c r="AG66" i="23"/>
  <c r="AF66" i="23"/>
  <c r="AE66" i="23"/>
  <c r="AD66" i="23"/>
  <c r="AC66" i="23"/>
  <c r="AB66" i="23"/>
  <c r="AA66" i="23"/>
  <c r="Z66" i="23"/>
  <c r="Y66" i="23"/>
  <c r="X66" i="23"/>
  <c r="W66" i="23"/>
  <c r="V66" i="23"/>
  <c r="U66" i="23"/>
  <c r="T66" i="23"/>
  <c r="S66" i="23"/>
  <c r="R66" i="23"/>
  <c r="Q66" i="23"/>
  <c r="P66" i="23"/>
  <c r="O66" i="23"/>
  <c r="N66" i="23"/>
  <c r="M66" i="23"/>
  <c r="L66" i="23"/>
  <c r="K66" i="23"/>
  <c r="J66" i="23"/>
  <c r="I66" i="23"/>
  <c r="H66" i="23"/>
  <c r="DK65" i="23"/>
  <c r="DJ65" i="23"/>
  <c r="DI65" i="23"/>
  <c r="DH65" i="23"/>
  <c r="DG65" i="23"/>
  <c r="DF65" i="23"/>
  <c r="DE65" i="23"/>
  <c r="DD65" i="23"/>
  <c r="DC65" i="23"/>
  <c r="DB65" i="23"/>
  <c r="DA65" i="23"/>
  <c r="CZ65" i="23"/>
  <c r="CY65" i="23"/>
  <c r="CX65" i="23"/>
  <c r="CW65" i="23"/>
  <c r="CV65" i="23"/>
  <c r="CU65" i="23"/>
  <c r="CT65" i="23"/>
  <c r="CS65" i="23"/>
  <c r="CR65" i="23"/>
  <c r="CQ65" i="23"/>
  <c r="CP65" i="23"/>
  <c r="CO65" i="23"/>
  <c r="CN65" i="23"/>
  <c r="CM65" i="23"/>
  <c r="CL65" i="23"/>
  <c r="CK65" i="23"/>
  <c r="CJ65" i="23"/>
  <c r="CI65" i="23"/>
  <c r="CH65" i="23"/>
  <c r="CG65" i="23"/>
  <c r="CF65" i="23"/>
  <c r="CE65" i="23"/>
  <c r="CD65" i="23"/>
  <c r="CC65" i="23"/>
  <c r="CB65" i="23"/>
  <c r="CA65" i="23"/>
  <c r="BZ65" i="23"/>
  <c r="BY65" i="23"/>
  <c r="BX65" i="23"/>
  <c r="BW65" i="23"/>
  <c r="BV65" i="23"/>
  <c r="BU65" i="23"/>
  <c r="BT65" i="23"/>
  <c r="BS65" i="23"/>
  <c r="BR65" i="23"/>
  <c r="BQ65" i="23"/>
  <c r="BP65" i="23"/>
  <c r="BO65" i="23"/>
  <c r="BN65" i="23"/>
  <c r="BM65" i="23"/>
  <c r="BL65" i="23"/>
  <c r="BK65" i="23"/>
  <c r="BJ65" i="23"/>
  <c r="BI65" i="23"/>
  <c r="BH65" i="23"/>
  <c r="BG65" i="23"/>
  <c r="BF65" i="23"/>
  <c r="BE65" i="23"/>
  <c r="BD65" i="23"/>
  <c r="BC65" i="23"/>
  <c r="BB65" i="23"/>
  <c r="BA65" i="23"/>
  <c r="AZ65" i="23"/>
  <c r="AY65" i="23"/>
  <c r="AX65" i="23"/>
  <c r="AW65" i="23"/>
  <c r="AV65" i="23"/>
  <c r="AU65" i="23"/>
  <c r="AT65" i="23"/>
  <c r="AS65" i="23"/>
  <c r="AR65" i="23"/>
  <c r="AQ65" i="23"/>
  <c r="AP65" i="23"/>
  <c r="AO65" i="23"/>
  <c r="AN65" i="23"/>
  <c r="AM65" i="23"/>
  <c r="AL65" i="23"/>
  <c r="AK65" i="23"/>
  <c r="AJ65" i="23"/>
  <c r="AI65" i="23"/>
  <c r="AH65" i="23"/>
  <c r="AG65" i="23"/>
  <c r="AF65" i="23"/>
  <c r="AE65" i="23"/>
  <c r="AD65" i="23"/>
  <c r="AC65" i="23"/>
  <c r="AB65" i="23"/>
  <c r="AA65" i="23"/>
  <c r="Z65" i="23"/>
  <c r="Y65" i="23"/>
  <c r="X65" i="23"/>
  <c r="W65" i="23"/>
  <c r="V65" i="23"/>
  <c r="U65" i="23"/>
  <c r="T65" i="23"/>
  <c r="S65" i="23"/>
  <c r="R65" i="23"/>
  <c r="Q65" i="23"/>
  <c r="P65" i="23"/>
  <c r="O65" i="23"/>
  <c r="N65" i="23"/>
  <c r="M65" i="23"/>
  <c r="L65" i="23"/>
  <c r="K65" i="23"/>
  <c r="J65" i="23"/>
  <c r="I65" i="23"/>
  <c r="H65" i="23"/>
  <c r="DK64" i="23"/>
  <c r="DJ64" i="23"/>
  <c r="DI64" i="23"/>
  <c r="DH64" i="23"/>
  <c r="DG64" i="23"/>
  <c r="DF64" i="23"/>
  <c r="DE64" i="23"/>
  <c r="DD64" i="23"/>
  <c r="DC64" i="23"/>
  <c r="DB64" i="23"/>
  <c r="DA64" i="23"/>
  <c r="CZ64" i="23"/>
  <c r="CY64" i="23"/>
  <c r="CX64" i="23"/>
  <c r="CW64" i="23"/>
  <c r="CV64" i="23"/>
  <c r="CU64" i="23"/>
  <c r="CT64" i="23"/>
  <c r="CS64" i="23"/>
  <c r="CR64" i="23"/>
  <c r="CQ64" i="23"/>
  <c r="CP64" i="23"/>
  <c r="CO64" i="23"/>
  <c r="CN64" i="23"/>
  <c r="CM64" i="23"/>
  <c r="CL64" i="23"/>
  <c r="CK64" i="23"/>
  <c r="CJ64" i="23"/>
  <c r="CI64" i="23"/>
  <c r="CH64" i="23"/>
  <c r="CG64" i="23"/>
  <c r="CF64" i="23"/>
  <c r="CE64" i="23"/>
  <c r="CD64" i="23"/>
  <c r="CC64" i="23"/>
  <c r="CB64" i="23"/>
  <c r="CA64" i="23"/>
  <c r="BZ64" i="23"/>
  <c r="BY64" i="23"/>
  <c r="BX64" i="23"/>
  <c r="BW64" i="23"/>
  <c r="BV64" i="23"/>
  <c r="BU64" i="23"/>
  <c r="BT64" i="23"/>
  <c r="BS64" i="23"/>
  <c r="BR64" i="23"/>
  <c r="BQ64" i="23"/>
  <c r="BP64" i="23"/>
  <c r="BO64" i="23"/>
  <c r="BN64" i="23"/>
  <c r="BM64" i="23"/>
  <c r="BL64" i="23"/>
  <c r="BK64" i="23"/>
  <c r="BJ64" i="23"/>
  <c r="BI64" i="23"/>
  <c r="BH64" i="23"/>
  <c r="BG64" i="23"/>
  <c r="BF64" i="23"/>
  <c r="BE64" i="23"/>
  <c r="BD64" i="23"/>
  <c r="BC64" i="23"/>
  <c r="BB64" i="23"/>
  <c r="BA64" i="23"/>
  <c r="AZ64" i="23"/>
  <c r="AY64" i="23"/>
  <c r="AX64" i="23"/>
  <c r="AW64" i="23"/>
  <c r="AV64" i="23"/>
  <c r="AU64" i="23"/>
  <c r="AT64" i="23"/>
  <c r="AS64" i="23"/>
  <c r="AR64" i="23"/>
  <c r="AQ64" i="23"/>
  <c r="AP64" i="23"/>
  <c r="AO64" i="23"/>
  <c r="AN64" i="23"/>
  <c r="AM64" i="23"/>
  <c r="AL64" i="23"/>
  <c r="AK64" i="23"/>
  <c r="AJ64" i="23"/>
  <c r="AI64" i="23"/>
  <c r="AH64" i="23"/>
  <c r="AG64" i="23"/>
  <c r="AF64" i="23"/>
  <c r="AE64" i="23"/>
  <c r="AD64" i="23"/>
  <c r="AC64" i="23"/>
  <c r="AB64" i="23"/>
  <c r="AA64" i="23"/>
  <c r="Z64" i="23"/>
  <c r="Y64" i="23"/>
  <c r="X64" i="23"/>
  <c r="W64" i="23"/>
  <c r="V64" i="23"/>
  <c r="U64" i="23"/>
  <c r="T64" i="23"/>
  <c r="S64" i="23"/>
  <c r="R64" i="23"/>
  <c r="Q64" i="23"/>
  <c r="P64" i="23"/>
  <c r="O64" i="23"/>
  <c r="N64" i="23"/>
  <c r="M64" i="23"/>
  <c r="L64" i="23"/>
  <c r="K64" i="23"/>
  <c r="J64" i="23"/>
  <c r="I64" i="23"/>
  <c r="H64" i="23"/>
  <c r="CQ62" i="23"/>
  <c r="O44" i="23"/>
  <c r="N44" i="23"/>
  <c r="M44" i="23"/>
  <c r="L44" i="23"/>
  <c r="K44" i="23"/>
  <c r="J44" i="23"/>
  <c r="I44" i="23"/>
  <c r="H44" i="23"/>
  <c r="O43" i="23"/>
  <c r="N43" i="23"/>
  <c r="M43" i="23"/>
  <c r="L43" i="23"/>
  <c r="K43" i="23"/>
  <c r="J43" i="23"/>
  <c r="I43" i="23"/>
  <c r="H43" i="23"/>
  <c r="O38" i="23"/>
  <c r="N38" i="23"/>
  <c r="M38" i="23"/>
  <c r="L38" i="23"/>
  <c r="K38" i="23"/>
  <c r="J38" i="23"/>
  <c r="I38" i="23"/>
  <c r="H38" i="23"/>
  <c r="O37" i="23"/>
  <c r="O41" i="23" s="1"/>
  <c r="N37" i="23"/>
  <c r="N41" i="23" s="1"/>
  <c r="M37" i="23"/>
  <c r="M41" i="23" s="1"/>
  <c r="L37" i="23"/>
  <c r="L41" i="23" s="1"/>
  <c r="K37" i="23"/>
  <c r="K39" i="23" s="1"/>
  <c r="K40" i="23" s="1"/>
  <c r="J37" i="23"/>
  <c r="J39" i="23" s="1"/>
  <c r="J40" i="23" s="1"/>
  <c r="I37" i="23"/>
  <c r="I41" i="23" s="1"/>
  <c r="H37" i="23"/>
  <c r="H41" i="23" s="1"/>
  <c r="Z19" i="23"/>
  <c r="Y19" i="23"/>
  <c r="X19" i="23"/>
  <c r="W19" i="23"/>
  <c r="V19" i="23"/>
  <c r="U19" i="23"/>
  <c r="T19" i="23"/>
  <c r="S19" i="23"/>
  <c r="R19" i="23"/>
  <c r="Q19" i="23"/>
  <c r="P19" i="23"/>
  <c r="O19" i="23"/>
  <c r="N19" i="23"/>
  <c r="M19" i="23"/>
  <c r="L19" i="23"/>
  <c r="K19" i="23"/>
  <c r="J19" i="23"/>
  <c r="I19" i="23"/>
  <c r="H19" i="23"/>
  <c r="Z18" i="23"/>
  <c r="Z22" i="23" s="1"/>
  <c r="Y18" i="23"/>
  <c r="Y22" i="23" s="1"/>
  <c r="X18" i="23"/>
  <c r="X20" i="23" s="1"/>
  <c r="W18" i="23"/>
  <c r="W22" i="23" s="1"/>
  <c r="V18" i="23"/>
  <c r="V22" i="23" s="1"/>
  <c r="U18" i="23"/>
  <c r="U20" i="23" s="1"/>
  <c r="T18" i="23"/>
  <c r="T20" i="23" s="1"/>
  <c r="T21" i="23" s="1"/>
  <c r="S18" i="23"/>
  <c r="S22" i="23" s="1"/>
  <c r="R18" i="23"/>
  <c r="R22" i="23" s="1"/>
  <c r="Q18" i="23"/>
  <c r="Q22" i="23" s="1"/>
  <c r="P18" i="23"/>
  <c r="P20" i="23" s="1"/>
  <c r="P21" i="23" s="1"/>
  <c r="O18" i="23"/>
  <c r="O22" i="23" s="1"/>
  <c r="N18" i="23"/>
  <c r="N22" i="23" s="1"/>
  <c r="M18" i="23"/>
  <c r="M20" i="23" s="1"/>
  <c r="L18" i="23"/>
  <c r="L20" i="23" s="1"/>
  <c r="K18" i="23"/>
  <c r="K22" i="23" s="1"/>
  <c r="J18" i="23"/>
  <c r="J22" i="23" s="1"/>
  <c r="I18" i="23"/>
  <c r="I20" i="23" s="1"/>
  <c r="H18" i="23"/>
  <c r="H20" i="23" s="1"/>
  <c r="H21" i="23" s="1"/>
  <c r="I8" i="23"/>
  <c r="R89" i="23" l="1"/>
  <c r="AL89" i="23"/>
  <c r="U21" i="23"/>
  <c r="AA89" i="23"/>
  <c r="AA90" i="23" s="1"/>
  <c r="V20" i="23"/>
  <c r="V21" i="23" s="1"/>
  <c r="V23" i="23" s="1"/>
  <c r="I24" i="23"/>
  <c r="U22" i="23"/>
  <c r="J89" i="23"/>
  <c r="J90" i="23" s="1"/>
  <c r="N89" i="23"/>
  <c r="N90" i="23" s="1"/>
  <c r="V89" i="23"/>
  <c r="V90" i="23" s="1"/>
  <c r="Z89" i="23"/>
  <c r="Z90" i="23" s="1"/>
  <c r="AD89" i="23"/>
  <c r="AD90" i="23" s="1"/>
  <c r="AH89" i="23"/>
  <c r="AH90" i="23" s="1"/>
  <c r="U23" i="23"/>
  <c r="O39" i="23"/>
  <c r="O40" i="23" s="1"/>
  <c r="K89" i="23"/>
  <c r="K90" i="23" s="1"/>
  <c r="S89" i="23"/>
  <c r="S90" i="23" s="1"/>
  <c r="AI89" i="23"/>
  <c r="AI90" i="23" s="1"/>
  <c r="N20" i="23"/>
  <c r="N21" i="23" s="1"/>
  <c r="N23" i="23" s="1"/>
  <c r="J47" i="23"/>
  <c r="O68" i="23"/>
  <c r="AE68" i="23"/>
  <c r="AQ68" i="23"/>
  <c r="AY68" i="23"/>
  <c r="BK68" i="23"/>
  <c r="CA68" i="23"/>
  <c r="CM68" i="23"/>
  <c r="CY68" i="23"/>
  <c r="DK68" i="23"/>
  <c r="AL90" i="23"/>
  <c r="M21" i="23"/>
  <c r="V24" i="23"/>
  <c r="Q20" i="23"/>
  <c r="Y20" i="23"/>
  <c r="Y24" i="23" s="1"/>
  <c r="I22" i="23"/>
  <c r="J41" i="23"/>
  <c r="H68" i="23"/>
  <c r="L68" i="23"/>
  <c r="P68" i="23"/>
  <c r="T68" i="23"/>
  <c r="X68" i="23"/>
  <c r="AB68" i="23"/>
  <c r="AF68" i="23"/>
  <c r="AJ68" i="23"/>
  <c r="AN68" i="23"/>
  <c r="AR68" i="23"/>
  <c r="AV68" i="23"/>
  <c r="AZ68" i="23"/>
  <c r="BD68" i="23"/>
  <c r="BH68" i="23"/>
  <c r="BL68" i="23"/>
  <c r="BP68" i="23"/>
  <c r="BT68" i="23"/>
  <c r="BX68" i="23"/>
  <c r="CB68" i="23"/>
  <c r="CF68" i="23"/>
  <c r="CJ68" i="23"/>
  <c r="CN68" i="23"/>
  <c r="CR68" i="23"/>
  <c r="CV68" i="23"/>
  <c r="CZ68" i="23"/>
  <c r="DD68" i="23"/>
  <c r="DH68" i="23"/>
  <c r="I89" i="23"/>
  <c r="I90" i="23" s="1"/>
  <c r="M89" i="23"/>
  <c r="M90" i="23" s="1"/>
  <c r="Q89" i="23"/>
  <c r="Q90" i="23" s="1"/>
  <c r="U89" i="23"/>
  <c r="U90" i="23" s="1"/>
  <c r="Y89" i="23"/>
  <c r="Y90" i="23" s="1"/>
  <c r="AC89" i="23"/>
  <c r="AC90" i="23" s="1"/>
  <c r="AG89" i="23"/>
  <c r="AG90" i="23" s="1"/>
  <c r="AK89" i="23"/>
  <c r="AK90" i="23" s="1"/>
  <c r="Q24" i="23"/>
  <c r="K68" i="23"/>
  <c r="W68" i="23"/>
  <c r="AI68" i="23"/>
  <c r="AU68" i="23"/>
  <c r="BG68" i="23"/>
  <c r="BS68" i="23"/>
  <c r="CE68" i="23"/>
  <c r="CQ68" i="23"/>
  <c r="DG68" i="23"/>
  <c r="R90" i="23"/>
  <c r="R20" i="23"/>
  <c r="Z20" i="23"/>
  <c r="Z24" i="23" s="1"/>
  <c r="M22" i="23"/>
  <c r="K41" i="23"/>
  <c r="I68" i="23"/>
  <c r="M68" i="23"/>
  <c r="Q68" i="23"/>
  <c r="U68" i="23"/>
  <c r="Y68" i="23"/>
  <c r="AC68" i="23"/>
  <c r="AG68" i="23"/>
  <c r="AK68" i="23"/>
  <c r="AO68" i="23"/>
  <c r="AS68" i="23"/>
  <c r="AW68" i="23"/>
  <c r="BA68" i="23"/>
  <c r="BE68" i="23"/>
  <c r="BI68" i="23"/>
  <c r="BM68" i="23"/>
  <c r="BQ68" i="23"/>
  <c r="BU68" i="23"/>
  <c r="BY68" i="23"/>
  <c r="CC68" i="23"/>
  <c r="CG68" i="23"/>
  <c r="CK68" i="23"/>
  <c r="CO68" i="23"/>
  <c r="CS68" i="23"/>
  <c r="CW68" i="23"/>
  <c r="DA68" i="23"/>
  <c r="DE68" i="23"/>
  <c r="DI68" i="23"/>
  <c r="U24" i="23"/>
  <c r="S68" i="23"/>
  <c r="AA68" i="23"/>
  <c r="AM68" i="23"/>
  <c r="BC68" i="23"/>
  <c r="BO68" i="23"/>
  <c r="BW68" i="23"/>
  <c r="CI68" i="23"/>
  <c r="CU68" i="23"/>
  <c r="DC68" i="23"/>
  <c r="H24" i="23"/>
  <c r="L24" i="23"/>
  <c r="P24" i="23"/>
  <c r="T24" i="23"/>
  <c r="X24" i="23"/>
  <c r="J20" i="23"/>
  <c r="J24" i="23" s="1"/>
  <c r="T22" i="23"/>
  <c r="T23" i="23" s="1"/>
  <c r="J68" i="23"/>
  <c r="N68" i="23"/>
  <c r="R68" i="23"/>
  <c r="V68" i="23"/>
  <c r="Z68" i="23"/>
  <c r="AD68" i="23"/>
  <c r="AH68" i="23"/>
  <c r="AL68" i="23"/>
  <c r="AP68" i="23"/>
  <c r="AT68" i="23"/>
  <c r="AX68" i="23"/>
  <c r="BB68" i="23"/>
  <c r="BF68" i="23"/>
  <c r="BJ68" i="23"/>
  <c r="BN68" i="23"/>
  <c r="BR68" i="23"/>
  <c r="BV68" i="23"/>
  <c r="BZ68" i="23"/>
  <c r="CD68" i="23"/>
  <c r="CH68" i="23"/>
  <c r="CL68" i="23"/>
  <c r="CP68" i="23"/>
  <c r="CT68" i="23"/>
  <c r="CX68" i="23"/>
  <c r="DB68" i="23"/>
  <c r="DF68" i="23"/>
  <c r="DJ68" i="23"/>
  <c r="O89" i="23"/>
  <c r="O90" i="23" s="1"/>
  <c r="W89" i="23"/>
  <c r="W90" i="23" s="1"/>
  <c r="AE89" i="23"/>
  <c r="AE90" i="23" s="1"/>
  <c r="AM89" i="23"/>
  <c r="AM90" i="23" s="1"/>
  <c r="GW94" i="4"/>
  <c r="H97" i="3"/>
  <c r="GX94" i="4"/>
  <c r="I68" i="11"/>
  <c r="J42" i="23"/>
  <c r="J45" i="23"/>
  <c r="J46" i="23" s="1"/>
  <c r="K42" i="23"/>
  <c r="K45" i="23"/>
  <c r="M24" i="23"/>
  <c r="O45" i="23"/>
  <c r="O46" i="23" s="1"/>
  <c r="O42" i="23"/>
  <c r="H70" i="23"/>
  <c r="O20" i="23"/>
  <c r="L21" i="23"/>
  <c r="X21" i="23"/>
  <c r="W20" i="23"/>
  <c r="J21" i="23"/>
  <c r="J23" i="23" s="1"/>
  <c r="Z21" i="23"/>
  <c r="Z23" i="23" s="1"/>
  <c r="L22" i="23"/>
  <c r="K47" i="23"/>
  <c r="O47" i="23"/>
  <c r="M39" i="23"/>
  <c r="M40" i="23" s="1"/>
  <c r="K20" i="23"/>
  <c r="Q21" i="23"/>
  <c r="Q23" i="23" s="1"/>
  <c r="P22" i="23"/>
  <c r="P23" i="23" s="1"/>
  <c r="I21" i="23"/>
  <c r="I23" i="23" s="1"/>
  <c r="S20" i="23"/>
  <c r="H22" i="23"/>
  <c r="H23" i="23" s="1"/>
  <c r="X22" i="23"/>
  <c r="I39" i="23"/>
  <c r="I40" i="23" s="1"/>
  <c r="N39" i="23"/>
  <c r="N40" i="23" s="1"/>
  <c r="H89" i="23"/>
  <c r="H90" i="23" s="1"/>
  <c r="L89" i="23"/>
  <c r="L90" i="23" s="1"/>
  <c r="P89" i="23"/>
  <c r="P90" i="23" s="1"/>
  <c r="T89" i="23"/>
  <c r="T90" i="23" s="1"/>
  <c r="X89" i="23"/>
  <c r="X90" i="23" s="1"/>
  <c r="AB89" i="23"/>
  <c r="AB90" i="23" s="1"/>
  <c r="AF89" i="23"/>
  <c r="AF90" i="23" s="1"/>
  <c r="AJ89" i="23"/>
  <c r="AJ90" i="23" s="1"/>
  <c r="AN89" i="23"/>
  <c r="AN90" i="23" s="1"/>
  <c r="H39" i="23"/>
  <c r="H40" i="23" s="1"/>
  <c r="L39" i="23"/>
  <c r="L40" i="23" s="1"/>
  <c r="N24" i="23" l="1"/>
  <c r="M47" i="23"/>
  <c r="Y21" i="23"/>
  <c r="Y23" i="23" s="1"/>
  <c r="X23" i="23"/>
  <c r="K46" i="23"/>
  <c r="R21" i="23"/>
  <c r="R23" i="23" s="1"/>
  <c r="R24" i="23"/>
  <c r="M23" i="23"/>
  <c r="N45" i="23"/>
  <c r="N46" i="23" s="1"/>
  <c r="N42" i="23"/>
  <c r="S21" i="23"/>
  <c r="S23" i="23" s="1"/>
  <c r="S24" i="23"/>
  <c r="K21" i="23"/>
  <c r="K23" i="23" s="1"/>
  <c r="K24" i="23"/>
  <c r="L45" i="23"/>
  <c r="L46" i="23" s="1"/>
  <c r="L42" i="23"/>
  <c r="I45" i="23"/>
  <c r="I46" i="23" s="1"/>
  <c r="I42" i="23"/>
  <c r="M45" i="23"/>
  <c r="M46" i="23" s="1"/>
  <c r="M42" i="23"/>
  <c r="L23" i="23"/>
  <c r="I47" i="23"/>
  <c r="H45" i="23"/>
  <c r="H46" i="23" s="1"/>
  <c r="H48" i="23" s="1"/>
  <c r="H42" i="23"/>
  <c r="L47" i="23"/>
  <c r="O21" i="23"/>
  <c r="O23" i="23" s="1"/>
  <c r="H25" i="23" s="1"/>
  <c r="O24" i="23"/>
  <c r="N47" i="23"/>
  <c r="H47" i="23"/>
  <c r="W24" i="23"/>
  <c r="W21" i="23"/>
  <c r="W23" i="23" s="1"/>
  <c r="L91" i="3" l="1"/>
  <c r="GY93" i="4"/>
  <c r="GY92" i="4"/>
  <c r="GY91" i="4"/>
  <c r="GY90" i="4"/>
  <c r="GZ93" i="4"/>
  <c r="GZ92" i="4"/>
  <c r="GZ91" i="4"/>
  <c r="GZ90" i="4"/>
  <c r="HA93" i="4"/>
  <c r="HA92" i="4"/>
  <c r="HA91" i="4"/>
  <c r="HA90" i="4"/>
  <c r="HB93" i="4"/>
  <c r="HB92" i="4"/>
  <c r="HB91" i="4"/>
  <c r="HB90" i="4"/>
  <c r="HC93" i="4"/>
  <c r="HC92" i="4"/>
  <c r="HC91" i="4"/>
  <c r="HC90" i="4"/>
  <c r="HD93" i="4"/>
  <c r="HD92" i="4"/>
  <c r="HD91" i="4"/>
  <c r="HD90" i="4"/>
  <c r="D13" i="22"/>
  <c r="E13" i="22"/>
  <c r="H67" i="11"/>
  <c r="H66" i="11"/>
  <c r="H65" i="11"/>
  <c r="H64" i="11"/>
  <c r="HD94" i="4" l="1"/>
  <c r="HC94" i="4"/>
  <c r="HB94" i="4"/>
  <c r="HA94" i="4"/>
  <c r="GZ94" i="4"/>
  <c r="O96" i="3"/>
  <c r="O97" i="3"/>
  <c r="GY94" i="4"/>
  <c r="H96" i="3"/>
  <c r="F96" i="3" s="1"/>
  <c r="H68" i="11"/>
  <c r="F95" i="3"/>
  <c r="D95" i="3" s="1"/>
  <c r="Q133" i="3" l="1"/>
  <c r="D96" i="3"/>
  <c r="D85" i="22"/>
  <c r="E85" i="22"/>
  <c r="O95" i="3"/>
  <c r="I97" i="3"/>
  <c r="F97" i="3" s="1"/>
  <c r="D97" i="3" s="1"/>
  <c r="I98" i="3"/>
  <c r="F98" i="3" s="1"/>
  <c r="D98" i="3" s="1"/>
  <c r="S133" i="3" l="1"/>
  <c r="P132" i="3"/>
  <c r="R130" i="3"/>
  <c r="P128" i="3"/>
  <c r="R132" i="3"/>
  <c r="P130" i="3"/>
  <c r="R128" i="3"/>
  <c r="R131" i="3"/>
  <c r="P129" i="3"/>
  <c r="P127" i="3"/>
  <c r="P131" i="3"/>
  <c r="R129" i="3"/>
  <c r="R127" i="3"/>
  <c r="P126" i="3"/>
  <c r="R126" i="3"/>
  <c r="R125" i="3"/>
  <c r="P125" i="3"/>
  <c r="R124" i="3"/>
  <c r="P122" i="3"/>
  <c r="R121" i="3"/>
  <c r="P124" i="3"/>
  <c r="R122" i="3"/>
  <c r="P123" i="3"/>
  <c r="R123" i="3"/>
  <c r="P121" i="3"/>
  <c r="R120" i="3"/>
  <c r="P120" i="3"/>
  <c r="P119" i="3"/>
  <c r="R119" i="3"/>
  <c r="P118" i="3"/>
  <c r="P113" i="3"/>
  <c r="R115" i="3"/>
  <c r="P112" i="3"/>
  <c r="P115" i="3"/>
  <c r="R118" i="3"/>
  <c r="P116" i="3"/>
  <c r="R113" i="3"/>
  <c r="P114" i="3"/>
  <c r="P117" i="3"/>
  <c r="R116" i="3"/>
  <c r="R112" i="3"/>
  <c r="R117" i="3"/>
  <c r="R114" i="3"/>
  <c r="R95" i="3"/>
  <c r="R96" i="3"/>
  <c r="R97" i="3"/>
  <c r="R98" i="3"/>
  <c r="P95" i="3"/>
  <c r="P96" i="3"/>
  <c r="P98" i="3"/>
  <c r="P97" i="3"/>
  <c r="P111" i="3"/>
  <c r="R109" i="3"/>
  <c r="P106" i="3"/>
  <c r="R103" i="3"/>
  <c r="R102" i="3"/>
  <c r="P99" i="3"/>
  <c r="R111" i="3"/>
  <c r="P109" i="3"/>
  <c r="R100" i="3"/>
  <c r="R105" i="3"/>
  <c r="R104" i="3"/>
  <c r="P100" i="3"/>
  <c r="P110" i="3"/>
  <c r="P108" i="3"/>
  <c r="R99" i="3"/>
  <c r="R107" i="3"/>
  <c r="R106" i="3"/>
  <c r="P103" i="3"/>
  <c r="P102" i="3"/>
  <c r="R110" i="3"/>
  <c r="R108" i="3"/>
  <c r="R101" i="3"/>
  <c r="P107" i="3"/>
  <c r="P105" i="3"/>
  <c r="P104" i="3"/>
  <c r="P101" i="3"/>
  <c r="G10" i="22"/>
  <c r="G87" i="22"/>
  <c r="E87" i="22"/>
  <c r="D87" i="22"/>
  <c r="G81" i="22"/>
  <c r="E81" i="22"/>
  <c r="D81" i="22"/>
  <c r="G79" i="22"/>
  <c r="E79" i="22"/>
  <c r="D79" i="22"/>
  <c r="G83" i="22"/>
  <c r="E83" i="22"/>
  <c r="D83" i="22"/>
  <c r="G73" i="22"/>
  <c r="E73" i="22"/>
  <c r="D73" i="22"/>
  <c r="G72" i="22"/>
  <c r="E72" i="22"/>
  <c r="D72" i="22"/>
  <c r="G74" i="22"/>
  <c r="E74" i="22"/>
  <c r="D74" i="22"/>
  <c r="G63" i="22"/>
  <c r="E63" i="22"/>
  <c r="D63" i="22"/>
  <c r="G50" i="22"/>
  <c r="E50" i="22"/>
  <c r="D50" i="22"/>
  <c r="G59" i="22"/>
  <c r="E59" i="22"/>
  <c r="D59" i="22"/>
  <c r="G5" i="22"/>
  <c r="E5" i="22"/>
  <c r="D5" i="22"/>
  <c r="G45" i="22"/>
  <c r="E45" i="22"/>
  <c r="D45" i="22"/>
  <c r="G39" i="22"/>
  <c r="E39" i="22"/>
  <c r="D39" i="22"/>
  <c r="G47" i="22"/>
  <c r="E47" i="22"/>
  <c r="D47" i="22"/>
  <c r="G33" i="22"/>
  <c r="E33" i="22"/>
  <c r="D33" i="22"/>
  <c r="G36" i="22"/>
  <c r="E36" i="22"/>
  <c r="D36" i="22"/>
  <c r="G25" i="22"/>
  <c r="E25" i="22"/>
  <c r="D25" i="22"/>
  <c r="G31" i="22"/>
  <c r="E31" i="22"/>
  <c r="D31" i="22"/>
  <c r="G22" i="22"/>
  <c r="E22" i="22"/>
  <c r="D22" i="22"/>
  <c r="G64" i="22"/>
  <c r="E64" i="22"/>
  <c r="D64" i="22"/>
  <c r="G23" i="22"/>
  <c r="E23" i="22"/>
  <c r="D23" i="22"/>
  <c r="G44" i="22"/>
  <c r="E44" i="22"/>
  <c r="D44" i="22"/>
  <c r="G18" i="22"/>
  <c r="E18" i="22"/>
  <c r="D18" i="22"/>
  <c r="G11" i="22"/>
  <c r="E11" i="22"/>
  <c r="D11" i="22"/>
  <c r="G12" i="22"/>
  <c r="E12" i="22"/>
  <c r="D12" i="22"/>
  <c r="G38" i="22"/>
  <c r="E38" i="22"/>
  <c r="D38" i="22"/>
  <c r="G8" i="22"/>
  <c r="E8" i="22"/>
  <c r="D8" i="22"/>
  <c r="E10" i="22"/>
  <c r="D10" i="22"/>
  <c r="H94" i="3" l="1"/>
  <c r="HE93" i="4"/>
  <c r="HE92" i="4"/>
  <c r="HE91" i="4"/>
  <c r="HE90" i="4"/>
  <c r="L93" i="3"/>
  <c r="HG93" i="4"/>
  <c r="HG92" i="4"/>
  <c r="HG91" i="4"/>
  <c r="HG90" i="4"/>
  <c r="HI93" i="4"/>
  <c r="HH93" i="4"/>
  <c r="HI92" i="4"/>
  <c r="HH92" i="4"/>
  <c r="HI91" i="4"/>
  <c r="HH91" i="4"/>
  <c r="HI90" i="4"/>
  <c r="HH90" i="4"/>
  <c r="HF93" i="4"/>
  <c r="HF92" i="4"/>
  <c r="HF91" i="4"/>
  <c r="HF90" i="4"/>
  <c r="L7" i="18"/>
  <c r="E7" i="18" s="1"/>
  <c r="L94" i="3"/>
  <c r="G7" i="18" l="1"/>
  <c r="I7" i="18"/>
  <c r="HH94" i="4"/>
  <c r="HI94" i="4"/>
  <c r="HE94" i="4"/>
  <c r="HF94" i="4"/>
  <c r="HG94" i="4"/>
  <c r="F94" i="3"/>
  <c r="HJ93" i="4"/>
  <c r="HJ92" i="4"/>
  <c r="HJ91" i="4"/>
  <c r="HJ90" i="4"/>
  <c r="HK93" i="4"/>
  <c r="HK92" i="4"/>
  <c r="HK91" i="4"/>
  <c r="HK90" i="4"/>
  <c r="S132" i="3" l="1"/>
  <c r="Q130" i="3"/>
  <c r="S128" i="3"/>
  <c r="Q132" i="3"/>
  <c r="S130" i="3"/>
  <c r="Q128" i="3"/>
  <c r="S131" i="3"/>
  <c r="S129" i="3"/>
  <c r="S127" i="3"/>
  <c r="Q131" i="3"/>
  <c r="Q129" i="3"/>
  <c r="Q127" i="3"/>
  <c r="S126" i="3"/>
  <c r="Q126" i="3"/>
  <c r="S125" i="3"/>
  <c r="Q125" i="3"/>
  <c r="S124" i="3"/>
  <c r="Q122" i="3"/>
  <c r="Q124" i="3"/>
  <c r="S122" i="3"/>
  <c r="S123" i="3"/>
  <c r="S121" i="3"/>
  <c r="Q123" i="3"/>
  <c r="Q121" i="3"/>
  <c r="Q120" i="3"/>
  <c r="Q118" i="3"/>
  <c r="Q116" i="3"/>
  <c r="S114" i="3"/>
  <c r="Q112" i="3"/>
  <c r="Q110" i="3"/>
  <c r="S119" i="3"/>
  <c r="Q117" i="3"/>
  <c r="Q113" i="3"/>
  <c r="Q109" i="3"/>
  <c r="S120" i="3"/>
  <c r="S118" i="3"/>
  <c r="S116" i="3"/>
  <c r="Q114" i="3"/>
  <c r="S112" i="3"/>
  <c r="S110" i="3"/>
  <c r="S115" i="3"/>
  <c r="Q119" i="3"/>
  <c r="S117" i="3"/>
  <c r="Q115" i="3"/>
  <c r="S113" i="3"/>
  <c r="S111" i="3"/>
  <c r="S109" i="3"/>
  <c r="Q111" i="3"/>
  <c r="HK94" i="4"/>
  <c r="HJ94" i="4"/>
  <c r="D94" i="3"/>
  <c r="S95" i="3"/>
  <c r="S94" i="3"/>
  <c r="Q94" i="3"/>
  <c r="Q95" i="3"/>
  <c r="Q108" i="3"/>
  <c r="S96" i="3"/>
  <c r="S105" i="3"/>
  <c r="S104" i="3"/>
  <c r="Q97" i="3"/>
  <c r="Q99" i="3"/>
  <c r="S108" i="3"/>
  <c r="S99" i="3"/>
  <c r="S98" i="3"/>
  <c r="S106" i="3"/>
  <c r="Q96" i="3"/>
  <c r="Q101" i="3"/>
  <c r="Q103" i="3"/>
  <c r="Q106" i="3"/>
  <c r="S101" i="3"/>
  <c r="S100" i="3"/>
  <c r="S107" i="3"/>
  <c r="Q100" i="3"/>
  <c r="Q98" i="3"/>
  <c r="Q105" i="3"/>
  <c r="S97" i="3"/>
  <c r="S103" i="3"/>
  <c r="S102" i="3"/>
  <c r="Q107" i="3"/>
  <c r="Q104" i="3"/>
  <c r="Q102" i="3"/>
  <c r="J93" i="3"/>
  <c r="HM93" i="4" l="1"/>
  <c r="H93" i="3"/>
  <c r="HL93" i="4"/>
  <c r="HL92" i="4"/>
  <c r="HL91" i="4"/>
  <c r="HL90" i="4"/>
  <c r="HM91" i="4"/>
  <c r="HM90" i="4"/>
  <c r="O93" i="3"/>
  <c r="F93" i="3" l="1"/>
  <c r="D93" i="3" s="1"/>
  <c r="HL94" i="4"/>
  <c r="HM94" i="4"/>
  <c r="HM92" i="4"/>
  <c r="O92" i="3" l="1"/>
  <c r="H92" i="3"/>
  <c r="HO93" i="4"/>
  <c r="HN93" i="4"/>
  <c r="HO92" i="4"/>
  <c r="HN92" i="4"/>
  <c r="HO91" i="4"/>
  <c r="HN91" i="4"/>
  <c r="HO90" i="4"/>
  <c r="HN90" i="4"/>
  <c r="HO94" i="4" l="1"/>
  <c r="HN94" i="4"/>
  <c r="F92" i="3"/>
  <c r="D92" i="3" s="1"/>
  <c r="H91" i="3" l="1"/>
  <c r="HP93" i="4"/>
  <c r="HP92" i="4"/>
  <c r="HP91" i="4"/>
  <c r="HP90" i="4"/>
  <c r="O91" i="3"/>
  <c r="K91" i="3"/>
  <c r="HQ93" i="4"/>
  <c r="HQ92" i="4"/>
  <c r="HQ91" i="4"/>
  <c r="HQ90" i="4"/>
  <c r="HR93" i="4"/>
  <c r="HR92" i="4"/>
  <c r="HR91" i="4"/>
  <c r="HR90" i="4"/>
  <c r="HP94" i="4" l="1"/>
  <c r="HR94" i="4"/>
  <c r="HQ94" i="4"/>
  <c r="H90" i="3"/>
  <c r="O90" i="3" l="1"/>
  <c r="I91" i="3"/>
  <c r="F91" i="3" s="1"/>
  <c r="D91" i="3" s="1"/>
  <c r="HS93" i="4" l="1"/>
  <c r="HS92" i="4"/>
  <c r="HS91" i="4"/>
  <c r="HS90" i="4"/>
  <c r="HT93" i="4"/>
  <c r="HT92" i="4"/>
  <c r="HT91" i="4"/>
  <c r="HT90" i="4"/>
  <c r="HU93" i="4"/>
  <c r="HU92" i="4"/>
  <c r="HU91" i="4"/>
  <c r="HU90" i="4"/>
  <c r="HU94" i="4" l="1"/>
  <c r="HT94" i="4"/>
  <c r="HS94" i="4"/>
  <c r="C13" i="18" l="1"/>
  <c r="O89" i="3" l="1"/>
  <c r="H88" i="11"/>
  <c r="H87" i="11"/>
  <c r="H86" i="11"/>
  <c r="H85" i="11"/>
  <c r="H89" i="3"/>
  <c r="HV93" i="4"/>
  <c r="HV92" i="4"/>
  <c r="HV91" i="4"/>
  <c r="HV90" i="4"/>
  <c r="Q13" i="18"/>
  <c r="M13" i="18"/>
  <c r="D13" i="18" l="1"/>
  <c r="L13" i="18"/>
  <c r="HV94" i="4"/>
  <c r="H89" i="11"/>
  <c r="H90" i="11" s="1"/>
  <c r="I13" i="18" l="1"/>
  <c r="G13" i="18"/>
  <c r="E13" i="18"/>
  <c r="P13" i="18"/>
  <c r="BH114" i="4"/>
  <c r="BH113" i="4"/>
  <c r="BH112" i="4"/>
  <c r="BH111" i="4"/>
  <c r="BG114" i="4"/>
  <c r="BG113" i="4"/>
  <c r="BG112" i="4"/>
  <c r="BG111" i="4"/>
  <c r="BF114" i="4"/>
  <c r="BF113" i="4"/>
  <c r="BF112" i="4"/>
  <c r="BF111" i="4"/>
  <c r="BE114" i="4"/>
  <c r="BE113" i="4"/>
  <c r="BE112" i="4"/>
  <c r="BE111" i="4"/>
  <c r="BF115" i="4" l="1"/>
  <c r="BF116" i="4" s="1"/>
  <c r="BH115" i="4"/>
  <c r="BH116" i="4" s="1"/>
  <c r="BG115" i="4"/>
  <c r="BG116" i="4" s="1"/>
  <c r="BE115" i="4"/>
  <c r="BE116" i="4" s="1"/>
  <c r="J11" i="3" l="1"/>
  <c r="O88" i="3" l="1"/>
  <c r="H88" i="3" l="1"/>
  <c r="F88" i="3" s="1"/>
  <c r="D88" i="3" s="1"/>
  <c r="H87" i="3" l="1"/>
  <c r="HW93" i="4"/>
  <c r="HW92" i="4"/>
  <c r="HW91" i="4"/>
  <c r="HW90" i="4"/>
  <c r="HX93" i="4"/>
  <c r="HX92" i="4"/>
  <c r="HX91" i="4"/>
  <c r="HX90" i="4"/>
  <c r="HY93" i="4"/>
  <c r="HY92" i="4"/>
  <c r="HY91" i="4"/>
  <c r="HY90" i="4"/>
  <c r="HZ93" i="4"/>
  <c r="HZ92" i="4"/>
  <c r="HZ91" i="4"/>
  <c r="HZ90" i="4"/>
  <c r="O87" i="3"/>
  <c r="IA93" i="4"/>
  <c r="IA92" i="4"/>
  <c r="IA91" i="4"/>
  <c r="IA90" i="4"/>
  <c r="Q12" i="18"/>
  <c r="M12" i="18"/>
  <c r="L12" i="18" l="1"/>
  <c r="P12" i="18" s="1"/>
  <c r="HZ94" i="4"/>
  <c r="HY94" i="4"/>
  <c r="HX94" i="4"/>
  <c r="HW94" i="4"/>
  <c r="IA94" i="4"/>
  <c r="IB93" i="4"/>
  <c r="IB92" i="4"/>
  <c r="IB91" i="4"/>
  <c r="IB90" i="4"/>
  <c r="G12" i="18" l="1"/>
  <c r="I12" i="18"/>
  <c r="IB94" i="4"/>
  <c r="IC93" i="4"/>
  <c r="IC92" i="4"/>
  <c r="IC91" i="4"/>
  <c r="IC90" i="4"/>
  <c r="IC94" i="4" l="1"/>
  <c r="ID93" i="4"/>
  <c r="ID92" i="4"/>
  <c r="ID91" i="4"/>
  <c r="ID90" i="4"/>
  <c r="ID94" i="4" l="1"/>
  <c r="F87" i="3"/>
  <c r="D87" i="3" s="1"/>
  <c r="IE93" i="4" l="1"/>
  <c r="IE92" i="4"/>
  <c r="IE91" i="4"/>
  <c r="IE90" i="4"/>
  <c r="IF93" i="4"/>
  <c r="IF92" i="4"/>
  <c r="IF91" i="4"/>
  <c r="IF90" i="4"/>
  <c r="IF94" i="4" l="1"/>
  <c r="IE94" i="4"/>
  <c r="O86" i="3"/>
  <c r="H86" i="3"/>
  <c r="IG93" i="4"/>
  <c r="IG92" i="4"/>
  <c r="IG91" i="4"/>
  <c r="IG90" i="4"/>
  <c r="IG94" i="4" l="1"/>
  <c r="J12" i="3"/>
  <c r="H85" i="3" l="1"/>
  <c r="I90" i="3"/>
  <c r="F90" i="3" s="1"/>
  <c r="D90" i="3" s="1"/>
  <c r="IH93" i="4"/>
  <c r="IH92" i="4"/>
  <c r="IH91" i="4"/>
  <c r="IH90" i="4"/>
  <c r="II93" i="4"/>
  <c r="II92" i="4"/>
  <c r="II91" i="4"/>
  <c r="II90" i="4"/>
  <c r="O85" i="3"/>
  <c r="II94" i="4" l="1"/>
  <c r="IH94" i="4"/>
  <c r="BI114" i="4"/>
  <c r="BI113" i="4"/>
  <c r="BI112" i="4"/>
  <c r="BI111" i="4"/>
  <c r="BK114" i="4"/>
  <c r="BK113" i="4"/>
  <c r="BK112" i="4"/>
  <c r="BK111" i="4"/>
  <c r="BJ114" i="4"/>
  <c r="BJ113" i="4"/>
  <c r="BJ112" i="4"/>
  <c r="BJ111" i="4"/>
  <c r="BK115" i="4" l="1"/>
  <c r="BK116" i="4" s="1"/>
  <c r="BI115" i="4"/>
  <c r="BI116" i="4" s="1"/>
  <c r="BJ115" i="4"/>
  <c r="BJ116" i="4" s="1"/>
  <c r="O84" i="3" l="1"/>
  <c r="BL114" i="4" l="1"/>
  <c r="BL113" i="4"/>
  <c r="BL112" i="4"/>
  <c r="BL111" i="4"/>
  <c r="BL115" i="4" l="1"/>
  <c r="BL116" i="4" s="1"/>
  <c r="I89" i="3" l="1"/>
  <c r="F89" i="3" s="1"/>
  <c r="D89" i="3" s="1"/>
  <c r="H84" i="3"/>
  <c r="IJ93" i="4"/>
  <c r="IJ92" i="4"/>
  <c r="IJ91" i="4"/>
  <c r="IJ90" i="4"/>
  <c r="I86" i="3"/>
  <c r="F86" i="3" s="1"/>
  <c r="D86" i="3" s="1"/>
  <c r="IK93" i="4"/>
  <c r="IK92" i="4"/>
  <c r="IK91" i="4"/>
  <c r="IK90" i="4"/>
  <c r="BM114" i="4"/>
  <c r="BM113" i="4"/>
  <c r="BM112" i="4"/>
  <c r="BM111" i="4"/>
  <c r="AA12" i="3"/>
  <c r="IK94" i="4" l="1"/>
  <c r="IJ94" i="4"/>
  <c r="BM115" i="4"/>
  <c r="BM116" i="4" s="1"/>
  <c r="IL93" i="4" l="1"/>
  <c r="IL92" i="4"/>
  <c r="IL91" i="4"/>
  <c r="IL90" i="4"/>
  <c r="IL94" i="4" l="1"/>
  <c r="BN114" i="4"/>
  <c r="BN113" i="4"/>
  <c r="BN112" i="4"/>
  <c r="BN111" i="4"/>
  <c r="BN115" i="4" l="1"/>
  <c r="BN116" i="4" s="1"/>
  <c r="J84" i="3" l="1"/>
  <c r="K84" i="3" l="1"/>
  <c r="F84" i="3" l="1"/>
  <c r="D84" i="3" s="1"/>
  <c r="O83" i="3"/>
  <c r="H83" i="3"/>
  <c r="IO93" i="4"/>
  <c r="IO92" i="4"/>
  <c r="IO91" i="4"/>
  <c r="IO90" i="4"/>
  <c r="IM93" i="4"/>
  <c r="IM92" i="4"/>
  <c r="IM91" i="4"/>
  <c r="IM90" i="4"/>
  <c r="IN93" i="4"/>
  <c r="IN92" i="4"/>
  <c r="IN91" i="4"/>
  <c r="IN90" i="4"/>
  <c r="IN94" i="4" l="1"/>
  <c r="IM94" i="4"/>
  <c r="IO94" i="4"/>
  <c r="BQ114" i="4"/>
  <c r="BQ113" i="4"/>
  <c r="BQ112" i="4"/>
  <c r="BQ111" i="4"/>
  <c r="BP114" i="4"/>
  <c r="BP113" i="4"/>
  <c r="BP112" i="4"/>
  <c r="BP111" i="4"/>
  <c r="BO114" i="4"/>
  <c r="BO113" i="4"/>
  <c r="BO112" i="4"/>
  <c r="BO111" i="4"/>
  <c r="BP115" i="4" l="1"/>
  <c r="BP116" i="4" s="1"/>
  <c r="BQ115" i="4"/>
  <c r="BQ116" i="4" s="1"/>
  <c r="BO115" i="4"/>
  <c r="BO116" i="4" s="1"/>
  <c r="F83" i="3" l="1"/>
  <c r="D83" i="3" s="1"/>
  <c r="BR114" i="4"/>
  <c r="BR113" i="4"/>
  <c r="BR112" i="4"/>
  <c r="BR111" i="4"/>
  <c r="BS114" i="4"/>
  <c r="BS113" i="4"/>
  <c r="BS112" i="4"/>
  <c r="BS111" i="4"/>
  <c r="R69" i="4"/>
  <c r="R68" i="4"/>
  <c r="R63" i="4"/>
  <c r="R62" i="4"/>
  <c r="R66" i="4" s="1"/>
  <c r="H82" i="3"/>
  <c r="O82" i="3"/>
  <c r="BR115" i="4" l="1"/>
  <c r="BR116" i="4" s="1"/>
  <c r="BS115" i="4"/>
  <c r="BS116" i="4" s="1"/>
  <c r="R64" i="4"/>
  <c r="R72" i="4" s="1"/>
  <c r="R65" i="4" l="1"/>
  <c r="R67" i="4" s="1"/>
  <c r="IP93" i="4"/>
  <c r="IP92" i="4"/>
  <c r="IP91" i="4"/>
  <c r="IP90" i="4"/>
  <c r="IQ93" i="4"/>
  <c r="IQ92" i="4"/>
  <c r="IQ91" i="4"/>
  <c r="IQ90" i="4"/>
  <c r="G29" i="20"/>
  <c r="D29" i="20"/>
  <c r="E29" i="20"/>
  <c r="G25" i="20"/>
  <c r="D25" i="20"/>
  <c r="E25" i="20"/>
  <c r="D11" i="20"/>
  <c r="E11" i="20"/>
  <c r="G11" i="20"/>
  <c r="G10" i="20"/>
  <c r="D10" i="20"/>
  <c r="E10" i="20"/>
  <c r="G33" i="20"/>
  <c r="E6" i="20"/>
  <c r="D6" i="20"/>
  <c r="G6" i="20"/>
  <c r="G5" i="20"/>
  <c r="G8" i="20"/>
  <c r="D5" i="20"/>
  <c r="E5" i="20"/>
  <c r="D8" i="20"/>
  <c r="E8" i="20"/>
  <c r="G27" i="20"/>
  <c r="D27" i="20"/>
  <c r="E27" i="20"/>
  <c r="D31" i="20"/>
  <c r="E31" i="20"/>
  <c r="G31" i="20"/>
  <c r="G30" i="20"/>
  <c r="D30" i="20"/>
  <c r="E30" i="20"/>
  <c r="D15" i="20"/>
  <c r="E15" i="20"/>
  <c r="G15" i="20"/>
  <c r="G7" i="20"/>
  <c r="G9" i="20"/>
  <c r="G12" i="20"/>
  <c r="G13" i="20"/>
  <c r="G14" i="20"/>
  <c r="G16" i="20"/>
  <c r="G17" i="20"/>
  <c r="G18" i="20"/>
  <c r="G19" i="20"/>
  <c r="G20" i="20"/>
  <c r="G21" i="20"/>
  <c r="G22" i="20"/>
  <c r="G23" i="20"/>
  <c r="G24" i="20"/>
  <c r="G26" i="20"/>
  <c r="G28" i="20"/>
  <c r="G4" i="20"/>
  <c r="E12" i="20"/>
  <c r="E18" i="20"/>
  <c r="E7" i="20"/>
  <c r="E24" i="20"/>
  <c r="E19" i="20"/>
  <c r="E9" i="20"/>
  <c r="E21" i="20"/>
  <c r="E20" i="20"/>
  <c r="E22" i="20"/>
  <c r="E13" i="20"/>
  <c r="E23" i="20"/>
  <c r="E16" i="20"/>
  <c r="E26" i="20"/>
  <c r="E17" i="20"/>
  <c r="E14" i="20"/>
  <c r="E28" i="20"/>
  <c r="E4" i="20"/>
  <c r="D28" i="20"/>
  <c r="D14" i="20"/>
  <c r="D13" i="20"/>
  <c r="D23" i="20"/>
  <c r="D16" i="20"/>
  <c r="D26" i="20"/>
  <c r="D17" i="20"/>
  <c r="IQ94" i="4" l="1"/>
  <c r="IP94" i="4"/>
  <c r="R70" i="4"/>
  <c r="R71" i="4" s="1"/>
  <c r="D12" i="20" l="1"/>
  <c r="D18" i="20"/>
  <c r="D7" i="20"/>
  <c r="D24" i="20"/>
  <c r="D19" i="20"/>
  <c r="D9" i="20"/>
  <c r="D21" i="20"/>
  <c r="D20" i="20"/>
  <c r="D22" i="20"/>
  <c r="D4" i="20"/>
  <c r="IR93" i="4" l="1"/>
  <c r="IR92" i="4"/>
  <c r="IR91" i="4"/>
  <c r="IR90" i="4"/>
  <c r="IR94" i="4" l="1"/>
  <c r="AB11" i="3"/>
  <c r="BU114" i="4"/>
  <c r="BU113" i="4"/>
  <c r="BU112" i="4"/>
  <c r="BU111" i="4"/>
  <c r="BT114" i="4"/>
  <c r="BT113" i="4"/>
  <c r="BT112" i="4"/>
  <c r="BT111" i="4"/>
  <c r="BU115" i="4" l="1"/>
  <c r="BU116" i="4" s="1"/>
  <c r="BT115" i="4"/>
  <c r="BT116" i="4" s="1"/>
  <c r="L78" i="3" l="1"/>
  <c r="H81" i="3" l="1"/>
  <c r="O81" i="3" l="1"/>
  <c r="AA11" i="3" l="1"/>
  <c r="IS93" i="4"/>
  <c r="IS92" i="4"/>
  <c r="IS91" i="4"/>
  <c r="IS90" i="4"/>
  <c r="IS94" i="4" l="1"/>
  <c r="I85" i="3"/>
  <c r="F85" i="3" s="1"/>
  <c r="D85" i="3" s="1"/>
  <c r="I82" i="3"/>
  <c r="F82" i="3" s="1"/>
  <c r="D82" i="3" s="1"/>
  <c r="IT93" i="4"/>
  <c r="IT92" i="4"/>
  <c r="IT91" i="4"/>
  <c r="IT90" i="4"/>
  <c r="F81" i="3"/>
  <c r="D81" i="3" s="1"/>
  <c r="IT94" i="4" l="1"/>
  <c r="IV93" i="4"/>
  <c r="IV92" i="4"/>
  <c r="IV91" i="4"/>
  <c r="IV90" i="4"/>
  <c r="IU93" i="4"/>
  <c r="IU92" i="4"/>
  <c r="IU91" i="4"/>
  <c r="IU90" i="4"/>
  <c r="K6" i="3"/>
  <c r="O80" i="3"/>
  <c r="K7" i="3"/>
  <c r="K8" i="3"/>
  <c r="H80" i="3"/>
  <c r="IU94" i="4" l="1"/>
  <c r="IV94" i="4"/>
  <c r="Z20" i="11"/>
  <c r="Z19" i="11"/>
  <c r="Z18" i="11"/>
  <c r="Z22" i="11" s="1"/>
  <c r="F80" i="3"/>
  <c r="D80" i="3" s="1"/>
  <c r="Z24" i="11" l="1"/>
  <c r="Z21" i="11"/>
  <c r="Z23" i="11" s="1"/>
  <c r="H79" i="3" l="1"/>
  <c r="IX90" i="4"/>
  <c r="IX91" i="4"/>
  <c r="IX92" i="4"/>
  <c r="IX93" i="4"/>
  <c r="IY93" i="4"/>
  <c r="IY92" i="4"/>
  <c r="IY91" i="4"/>
  <c r="IY90" i="4"/>
  <c r="IW93" i="4"/>
  <c r="IW92" i="4"/>
  <c r="IW91" i="4"/>
  <c r="IW90" i="4"/>
  <c r="O79" i="3"/>
  <c r="Y18" i="11"/>
  <c r="Y20" i="11" s="1"/>
  <c r="Y19" i="11"/>
  <c r="S5" i="18"/>
  <c r="X19" i="11"/>
  <c r="X18" i="11"/>
  <c r="X22" i="11" s="1"/>
  <c r="I36" i="4"/>
  <c r="I35" i="4"/>
  <c r="I37" i="4" s="1"/>
  <c r="IW94" i="4" l="1"/>
  <c r="IY94" i="4"/>
  <c r="IX94" i="4"/>
  <c r="Y21" i="11"/>
  <c r="I38" i="4"/>
  <c r="Y22" i="11"/>
  <c r="Y24" i="11"/>
  <c r="X20" i="11"/>
  <c r="X21" i="11" s="1"/>
  <c r="X23" i="11" s="1"/>
  <c r="I41" i="4"/>
  <c r="I39" i="4"/>
  <c r="IZ93" i="4"/>
  <c r="IZ92" i="4"/>
  <c r="IZ91" i="4"/>
  <c r="IZ90" i="4"/>
  <c r="F79" i="3"/>
  <c r="D79" i="3" s="1"/>
  <c r="BW114" i="4"/>
  <c r="BW113" i="4"/>
  <c r="BW112" i="4"/>
  <c r="BW111" i="4"/>
  <c r="BV114" i="4"/>
  <c r="BV113" i="4"/>
  <c r="BV112" i="4"/>
  <c r="BV111" i="4"/>
  <c r="JA93" i="4"/>
  <c r="JA92" i="4"/>
  <c r="JA91" i="4"/>
  <c r="JA90" i="4"/>
  <c r="K9" i="3"/>
  <c r="H78" i="3"/>
  <c r="K10" i="3"/>
  <c r="K11" i="3"/>
  <c r="L5" i="3"/>
  <c r="O78" i="3"/>
  <c r="K12" i="3"/>
  <c r="JD93" i="4"/>
  <c r="JD92" i="4"/>
  <c r="JD91" i="4"/>
  <c r="JD90" i="4"/>
  <c r="JC93" i="4"/>
  <c r="JC92" i="4"/>
  <c r="JC91" i="4"/>
  <c r="JC90" i="4"/>
  <c r="JB93" i="4"/>
  <c r="JB92" i="4"/>
  <c r="JB91" i="4"/>
  <c r="JB90" i="4"/>
  <c r="L6" i="3"/>
  <c r="L7" i="3"/>
  <c r="BX114" i="4"/>
  <c r="BX113" i="4"/>
  <c r="BX112" i="4"/>
  <c r="BX111" i="4"/>
  <c r="BY114" i="4"/>
  <c r="BY113" i="4"/>
  <c r="BY112" i="4"/>
  <c r="BY111" i="4"/>
  <c r="BZ114" i="4"/>
  <c r="BZ113" i="4"/>
  <c r="BZ112" i="4"/>
  <c r="BZ111" i="4"/>
  <c r="CA104" i="4"/>
  <c r="CA114" i="4" s="1"/>
  <c r="CA106" i="4"/>
  <c r="CA112" i="4" s="1"/>
  <c r="CB113" i="4"/>
  <c r="CB112" i="4"/>
  <c r="CB111" i="4"/>
  <c r="CB114" i="4"/>
  <c r="CA113" i="4"/>
  <c r="CA111" i="4"/>
  <c r="L8" i="3"/>
  <c r="JB94" i="4" l="1"/>
  <c r="JC94" i="4"/>
  <c r="JD94" i="4"/>
  <c r="IZ94" i="4"/>
  <c r="JA94" i="4"/>
  <c r="I40" i="4"/>
  <c r="Y23" i="11"/>
  <c r="X24" i="11"/>
  <c r="BW115" i="4"/>
  <c r="BW116" i="4" s="1"/>
  <c r="BV115" i="4"/>
  <c r="BV116" i="4" s="1"/>
  <c r="BX115" i="4"/>
  <c r="BX116" i="4" s="1"/>
  <c r="BY115" i="4"/>
  <c r="BY116" i="4" s="1"/>
  <c r="BZ115" i="4"/>
  <c r="BZ116" i="4" s="1"/>
  <c r="CB115" i="4"/>
  <c r="CB116" i="4" s="1"/>
  <c r="CA115" i="4"/>
  <c r="CA116" i="4" s="1"/>
  <c r="L9" i="3" l="1"/>
  <c r="O77" i="3"/>
  <c r="L10" i="3"/>
  <c r="L11" i="3"/>
  <c r="L12" i="3"/>
  <c r="H77" i="3"/>
  <c r="JE93" i="4"/>
  <c r="JE92" i="4"/>
  <c r="JE91" i="4"/>
  <c r="JE90" i="4"/>
  <c r="JF93" i="4"/>
  <c r="JF92" i="4"/>
  <c r="JF91" i="4"/>
  <c r="JF90" i="4"/>
  <c r="JG93" i="4"/>
  <c r="JG92" i="4"/>
  <c r="JG91" i="4"/>
  <c r="JG90" i="4"/>
  <c r="JG94" i="4" l="1"/>
  <c r="JF94" i="4"/>
  <c r="JE94" i="4"/>
  <c r="F77" i="3"/>
  <c r="D77" i="3" s="1"/>
  <c r="H76" i="3" l="1"/>
  <c r="O76" i="3"/>
  <c r="Q11" i="18"/>
  <c r="M11" i="18"/>
  <c r="L11" i="18" s="1"/>
  <c r="JH93" i="4"/>
  <c r="JH92" i="4"/>
  <c r="JH91" i="4"/>
  <c r="JH90" i="4"/>
  <c r="I78" i="3"/>
  <c r="F78" i="3" s="1"/>
  <c r="D78" i="3" s="1"/>
  <c r="JI93" i="4"/>
  <c r="JI92" i="4"/>
  <c r="JI91" i="4"/>
  <c r="JI90" i="4"/>
  <c r="G11" i="18" l="1"/>
  <c r="I11" i="18"/>
  <c r="JI94" i="4"/>
  <c r="JH94" i="4"/>
  <c r="P11" i="18"/>
  <c r="F76" i="3" l="1"/>
  <c r="D76" i="3" s="1"/>
  <c r="CC114" i="4" l="1"/>
  <c r="CC113" i="4"/>
  <c r="CC112" i="4"/>
  <c r="CC111" i="4"/>
  <c r="O75" i="3"/>
  <c r="H75" i="3"/>
  <c r="CC115" i="4" l="1"/>
  <c r="CC116" i="4" s="1"/>
  <c r="N63" i="4" l="1"/>
  <c r="M8" i="18"/>
  <c r="L8" i="18" s="1"/>
  <c r="CD114" i="4"/>
  <c r="CD113" i="4"/>
  <c r="CD112" i="4"/>
  <c r="CD111" i="4"/>
  <c r="G8" i="18" l="1"/>
  <c r="I8" i="18"/>
  <c r="CD115" i="4"/>
  <c r="CD116" i="4" s="1"/>
  <c r="H74" i="3" l="1"/>
  <c r="CG114" i="4"/>
  <c r="CG113" i="4"/>
  <c r="CG112" i="4"/>
  <c r="CG111" i="4"/>
  <c r="CF114" i="4"/>
  <c r="CF113" i="4"/>
  <c r="CF112" i="4"/>
  <c r="CF111" i="4"/>
  <c r="CG115" i="4" l="1"/>
  <c r="CG116" i="4" s="1"/>
  <c r="CF115" i="4"/>
  <c r="CF116" i="4" s="1"/>
  <c r="O74" i="3" l="1"/>
  <c r="JJ93" i="4"/>
  <c r="JJ92" i="4"/>
  <c r="JJ91" i="4"/>
  <c r="JJ90" i="4"/>
  <c r="F74" i="3"/>
  <c r="D74" i="3" s="1"/>
  <c r="JK93" i="4"/>
  <c r="JK92" i="4"/>
  <c r="JK91" i="4"/>
  <c r="JK90" i="4"/>
  <c r="CH114" i="4"/>
  <c r="CH113" i="4"/>
  <c r="CH112" i="4"/>
  <c r="CH111" i="4"/>
  <c r="JK94" i="4" l="1"/>
  <c r="JJ94" i="4"/>
  <c r="CH115" i="4"/>
  <c r="CH116" i="4" s="1"/>
  <c r="CE114" i="4" l="1"/>
  <c r="CE113" i="4"/>
  <c r="CE112" i="4"/>
  <c r="CE111" i="4"/>
  <c r="O73" i="3"/>
  <c r="H73" i="3"/>
  <c r="CE115" i="4" l="1"/>
  <c r="CE116" i="4" s="1"/>
  <c r="JL93" i="4" l="1"/>
  <c r="JL92" i="4"/>
  <c r="JL91" i="4"/>
  <c r="JL90" i="4"/>
  <c r="JL94" i="4" l="1"/>
  <c r="O72" i="3"/>
  <c r="JM93" i="4" l="1"/>
  <c r="JM92" i="4"/>
  <c r="JM91" i="4"/>
  <c r="JM90" i="4"/>
  <c r="Z12" i="3"/>
  <c r="H72" i="3"/>
  <c r="JM94" i="4" l="1"/>
  <c r="JN93" i="4"/>
  <c r="JN92" i="4"/>
  <c r="JN91" i="4"/>
  <c r="JN90" i="4"/>
  <c r="JN94" i="4" l="1"/>
  <c r="H71" i="3"/>
  <c r="O71" i="3"/>
  <c r="JO93" i="4"/>
  <c r="JO92" i="4"/>
  <c r="JO91" i="4"/>
  <c r="JO90" i="4"/>
  <c r="JO94" i="4" l="1"/>
  <c r="Y12" i="3"/>
  <c r="JQ93" i="4"/>
  <c r="JQ92" i="4"/>
  <c r="JQ91" i="4"/>
  <c r="JQ90" i="4"/>
  <c r="JP93" i="4"/>
  <c r="JP92" i="4"/>
  <c r="JP91" i="4"/>
  <c r="JP90" i="4"/>
  <c r="X12" i="3"/>
  <c r="JP94" i="4" l="1"/>
  <c r="JQ94" i="4"/>
  <c r="F71" i="3"/>
  <c r="D71" i="3" s="1"/>
  <c r="H70" i="3"/>
  <c r="JR93" i="4" l="1"/>
  <c r="JR92" i="4"/>
  <c r="JR91" i="4"/>
  <c r="JR90" i="4"/>
  <c r="JS93" i="4"/>
  <c r="JS92" i="4"/>
  <c r="JS91" i="4"/>
  <c r="JS90" i="4"/>
  <c r="JS94" i="4" l="1"/>
  <c r="JR94" i="4"/>
  <c r="F70" i="3"/>
  <c r="D70" i="3" s="1"/>
  <c r="H69" i="3"/>
  <c r="W12" i="3" l="1"/>
  <c r="JT93" i="4"/>
  <c r="JT92" i="4"/>
  <c r="JT91" i="4"/>
  <c r="JT90" i="4"/>
  <c r="V12" i="3"/>
  <c r="JU93" i="4"/>
  <c r="JU92" i="4"/>
  <c r="JU91" i="4"/>
  <c r="JU90" i="4"/>
  <c r="X11" i="3"/>
  <c r="JU94" i="4" l="1"/>
  <c r="JT94" i="4"/>
  <c r="AL36" i="4"/>
  <c r="AL35" i="4"/>
  <c r="AL37" i="4" s="1"/>
  <c r="AL41" i="4" l="1"/>
  <c r="AL38" i="4"/>
  <c r="AL39" i="4"/>
  <c r="AL40" i="4" l="1"/>
  <c r="I75" i="3" l="1"/>
  <c r="F75" i="3" s="1"/>
  <c r="D75" i="3" s="1"/>
  <c r="I73" i="3"/>
  <c r="F73" i="3" s="1"/>
  <c r="D73" i="3" s="1"/>
  <c r="I72" i="3"/>
  <c r="F72" i="3" s="1"/>
  <c r="D72" i="3" s="1"/>
  <c r="I69" i="3"/>
  <c r="F69" i="3" s="1"/>
  <c r="D69" i="3" s="1"/>
  <c r="O68" i="3"/>
  <c r="H68" i="3"/>
  <c r="CI114" i="4" l="1"/>
  <c r="CI113" i="4"/>
  <c r="CI112" i="4"/>
  <c r="CI111" i="4"/>
  <c r="JV93" i="4"/>
  <c r="JV92" i="4"/>
  <c r="JV91" i="4"/>
  <c r="JV90" i="4"/>
  <c r="L68" i="3"/>
  <c r="JV94" i="4" l="1"/>
  <c r="CI115" i="4"/>
  <c r="CI116" i="4" s="1"/>
  <c r="F68" i="3"/>
  <c r="D68" i="3" s="1"/>
  <c r="H67" i="3" l="1"/>
  <c r="JW93" i="4"/>
  <c r="JW92" i="4"/>
  <c r="JW91" i="4"/>
  <c r="JW90" i="4"/>
  <c r="W11" i="3"/>
  <c r="JW94" i="4" l="1"/>
  <c r="CJ114" i="4"/>
  <c r="CJ113" i="4"/>
  <c r="CJ112" i="4"/>
  <c r="CJ111" i="4"/>
  <c r="CJ115" i="4" l="1"/>
  <c r="CJ116" i="4" s="1"/>
  <c r="O67" i="3"/>
  <c r="AK36" i="4" l="1"/>
  <c r="AK35" i="4"/>
  <c r="AK39" i="4" s="1"/>
  <c r="AJ36" i="4"/>
  <c r="AJ35" i="4"/>
  <c r="AJ39" i="4" s="1"/>
  <c r="AI36" i="4"/>
  <c r="AI35" i="4"/>
  <c r="AI39" i="4" s="1"/>
  <c r="JX93" i="4"/>
  <c r="JX92" i="4"/>
  <c r="JX91" i="4"/>
  <c r="JX90" i="4"/>
  <c r="CK114" i="4"/>
  <c r="CK113" i="4"/>
  <c r="CK112" i="4"/>
  <c r="CK111" i="4"/>
  <c r="JX94" i="4" l="1"/>
  <c r="AJ37" i="4"/>
  <c r="AJ38" i="4" s="1"/>
  <c r="AJ40" i="4" s="1"/>
  <c r="AK37" i="4"/>
  <c r="AK41" i="4" s="1"/>
  <c r="AI37" i="4"/>
  <c r="AI38" i="4" s="1"/>
  <c r="AI40" i="4" s="1"/>
  <c r="CK115" i="4"/>
  <c r="CK116" i="4" s="1"/>
  <c r="AJ41" i="4" l="1"/>
  <c r="AK38" i="4"/>
  <c r="AK40" i="4" s="1"/>
  <c r="AI41" i="4"/>
  <c r="F67" i="3" l="1"/>
  <c r="D67" i="3" s="1"/>
  <c r="AC6" i="3"/>
  <c r="O66" i="3"/>
  <c r="H66" i="3" l="1"/>
  <c r="F66" i="3" l="1"/>
  <c r="D66" i="3" s="1"/>
  <c r="JZ93" i="4"/>
  <c r="JY93" i="4"/>
  <c r="JZ92" i="4"/>
  <c r="JY92" i="4"/>
  <c r="JZ91" i="4"/>
  <c r="JY91" i="4"/>
  <c r="JZ90" i="4"/>
  <c r="JY90" i="4"/>
  <c r="H65" i="3"/>
  <c r="AC7" i="3"/>
  <c r="O65" i="3"/>
  <c r="JY94" i="4" l="1"/>
  <c r="JZ94" i="4"/>
  <c r="KA93" i="4"/>
  <c r="KA92" i="4"/>
  <c r="KA91" i="4"/>
  <c r="KA90" i="4"/>
  <c r="KA94" i="4" l="1"/>
  <c r="KB93" i="4"/>
  <c r="KB92" i="4"/>
  <c r="KB91" i="4"/>
  <c r="KB90" i="4"/>
  <c r="AH36" i="4"/>
  <c r="AH35" i="4"/>
  <c r="AH39" i="4" s="1"/>
  <c r="KB94" i="4" l="1"/>
  <c r="AH37" i="4"/>
  <c r="AH41" i="4" s="1"/>
  <c r="KC93" i="4"/>
  <c r="KC92" i="4"/>
  <c r="KC91" i="4"/>
  <c r="KC90" i="4"/>
  <c r="H64" i="3"/>
  <c r="O64" i="3"/>
  <c r="AH38" i="4" l="1"/>
  <c r="AH40" i="4" s="1"/>
  <c r="KC94" i="4"/>
  <c r="F64" i="3"/>
  <c r="D64" i="3" s="1"/>
  <c r="O63" i="3" l="1"/>
  <c r="H63" i="3"/>
  <c r="F63" i="3" l="1"/>
  <c r="D63" i="3" s="1"/>
  <c r="AG36" i="4" l="1"/>
  <c r="AG35" i="4"/>
  <c r="AG37" i="4" s="1"/>
  <c r="AF36" i="4"/>
  <c r="AF35" i="4"/>
  <c r="AF39" i="4" s="1"/>
  <c r="AF37" i="4" l="1"/>
  <c r="AF38" i="4" s="1"/>
  <c r="AF40" i="4" s="1"/>
  <c r="AG38" i="4"/>
  <c r="AG41" i="4"/>
  <c r="AG39" i="4"/>
  <c r="H62" i="3"/>
  <c r="KD93" i="4"/>
  <c r="KD92" i="4"/>
  <c r="KD91" i="4"/>
  <c r="KD90" i="4"/>
  <c r="I65" i="3"/>
  <c r="F65" i="3" s="1"/>
  <c r="D65" i="3" s="1"/>
  <c r="KD94" i="4" l="1"/>
  <c r="AF41" i="4"/>
  <c r="AG40" i="4"/>
  <c r="W19" i="11" l="1"/>
  <c r="W18" i="11"/>
  <c r="W20" i="11" s="1"/>
  <c r="O62" i="3"/>
  <c r="V19" i="11"/>
  <c r="V18" i="11"/>
  <c r="V22" i="11" s="1"/>
  <c r="W21" i="11" l="1"/>
  <c r="W24" i="11"/>
  <c r="W22" i="11"/>
  <c r="V20" i="11"/>
  <c r="V21" i="11" s="1"/>
  <c r="V23" i="11" s="1"/>
  <c r="F62" i="3"/>
  <c r="D62" i="3" s="1"/>
  <c r="Q63" i="4"/>
  <c r="Q62" i="4"/>
  <c r="Q66" i="4" s="1"/>
  <c r="Q68" i="4" l="1"/>
  <c r="Q69" i="4" s="1"/>
  <c r="W23" i="11"/>
  <c r="V24" i="11"/>
  <c r="Q64" i="4"/>
  <c r="Q65" i="4" s="1"/>
  <c r="Q70" i="4" l="1"/>
  <c r="Q71" i="4" s="1"/>
  <c r="Q72" i="4"/>
  <c r="Q67" i="4"/>
  <c r="H61" i="3" l="1"/>
  <c r="AC8" i="3"/>
  <c r="O61" i="3"/>
  <c r="Z11" i="3"/>
  <c r="CL114" i="4"/>
  <c r="CL113" i="4"/>
  <c r="CL112" i="4"/>
  <c r="CL111" i="4"/>
  <c r="CL115" i="4" l="1"/>
  <c r="CL116" i="4" s="1"/>
  <c r="Y11" i="3" l="1"/>
  <c r="H60" i="3" l="1"/>
  <c r="O60" i="3"/>
  <c r="C4" i="18"/>
  <c r="D4" i="18" s="1"/>
  <c r="KE93" i="4" l="1"/>
  <c r="KE92" i="4"/>
  <c r="KE91" i="4"/>
  <c r="KE90" i="4"/>
  <c r="CM114" i="4"/>
  <c r="CM113" i="4"/>
  <c r="CM112" i="4"/>
  <c r="CM111" i="4"/>
  <c r="U19" i="11"/>
  <c r="U18" i="11"/>
  <c r="U20" i="11" s="1"/>
  <c r="KE94" i="4" l="1"/>
  <c r="U21" i="11"/>
  <c r="CM115" i="4"/>
  <c r="CM116" i="4" s="1"/>
  <c r="U24" i="11"/>
  <c r="U22" i="11"/>
  <c r="H59" i="3"/>
  <c r="CN114" i="4"/>
  <c r="CN113" i="4"/>
  <c r="CN112" i="4"/>
  <c r="CN111" i="4"/>
  <c r="O59" i="3"/>
  <c r="U23" i="11" l="1"/>
  <c r="CN115" i="4"/>
  <c r="CN116" i="4" s="1"/>
  <c r="I58" i="3" l="1"/>
  <c r="T19" i="11"/>
  <c r="T18" i="11"/>
  <c r="T20" i="11" s="1"/>
  <c r="AC9" i="3"/>
  <c r="I60" i="3"/>
  <c r="F60" i="3" s="1"/>
  <c r="D60" i="3" s="1"/>
  <c r="AC10" i="3"/>
  <c r="O58" i="3"/>
  <c r="H58" i="3"/>
  <c r="F58" i="3" s="1"/>
  <c r="AB5" i="3"/>
  <c r="T21" i="11" l="1"/>
  <c r="T24" i="11"/>
  <c r="T22" i="11"/>
  <c r="H43" i="11"/>
  <c r="H38" i="11"/>
  <c r="H37" i="11"/>
  <c r="H39" i="11" s="1"/>
  <c r="H40" i="11" l="1"/>
  <c r="H45" i="11" s="1"/>
  <c r="T23" i="11"/>
  <c r="H47" i="11"/>
  <c r="H41" i="11"/>
  <c r="AE36" i="4"/>
  <c r="AE35" i="4"/>
  <c r="AE39" i="4" s="1"/>
  <c r="D58" i="3"/>
  <c r="AD36" i="4"/>
  <c r="AD35" i="4"/>
  <c r="AD39" i="4" s="1"/>
  <c r="AC36" i="4"/>
  <c r="AC35" i="4"/>
  <c r="AC37" i="4" s="1"/>
  <c r="AB36" i="4"/>
  <c r="AB35" i="4"/>
  <c r="AB37" i="4" s="1"/>
  <c r="Z36" i="4"/>
  <c r="Z35" i="4"/>
  <c r="Z39" i="4" s="1"/>
  <c r="AE37" i="4" l="1"/>
  <c r="AE41" i="4" s="1"/>
  <c r="AD37" i="4"/>
  <c r="AD38" i="4" s="1"/>
  <c r="AD40" i="4" s="1"/>
  <c r="Z37" i="4"/>
  <c r="Z38" i="4" s="1"/>
  <c r="Z40" i="4" s="1"/>
  <c r="H42" i="11"/>
  <c r="H44" i="11"/>
  <c r="AB38" i="4"/>
  <c r="AC38" i="4"/>
  <c r="H46" i="11"/>
  <c r="AC41" i="4"/>
  <c r="AC39" i="4"/>
  <c r="AB41" i="4"/>
  <c r="AB39" i="4"/>
  <c r="CR114" i="4"/>
  <c r="CR113" i="4"/>
  <c r="CR112" i="4"/>
  <c r="CR111" i="4"/>
  <c r="CQ114" i="4"/>
  <c r="CQ113" i="4"/>
  <c r="CQ112" i="4"/>
  <c r="CQ111" i="4"/>
  <c r="CP114" i="4"/>
  <c r="CP113" i="4"/>
  <c r="CP112" i="4"/>
  <c r="CP111" i="4"/>
  <c r="CO114" i="4"/>
  <c r="CO113" i="4"/>
  <c r="CO112" i="4"/>
  <c r="CO111" i="4"/>
  <c r="H57" i="3"/>
  <c r="AB6" i="3"/>
  <c r="O57" i="3"/>
  <c r="AB7" i="3"/>
  <c r="KG93" i="4"/>
  <c r="KG92" i="4"/>
  <c r="KG91" i="4"/>
  <c r="KG90" i="4"/>
  <c r="KF93" i="4"/>
  <c r="KF92" i="4"/>
  <c r="KF91" i="4"/>
  <c r="KF90" i="4"/>
  <c r="KF94" i="4" l="1"/>
  <c r="KG94" i="4"/>
  <c r="AD41" i="4"/>
  <c r="Z41" i="4"/>
  <c r="AE38" i="4"/>
  <c r="AE40" i="4" s="1"/>
  <c r="AB40" i="4"/>
  <c r="AC40" i="4"/>
  <c r="CR115" i="4"/>
  <c r="CR116" i="4" s="1"/>
  <c r="CQ115" i="4"/>
  <c r="CQ116" i="4" s="1"/>
  <c r="CP115" i="4"/>
  <c r="CP116" i="4" s="1"/>
  <c r="CO115" i="4"/>
  <c r="CO116" i="4" s="1"/>
  <c r="Y36" i="4"/>
  <c r="Y35" i="4"/>
  <c r="Y39" i="4" s="1"/>
  <c r="CS114" i="4"/>
  <c r="CS113" i="4"/>
  <c r="CS112" i="4"/>
  <c r="CS111" i="4"/>
  <c r="M6" i="18"/>
  <c r="I18" i="11"/>
  <c r="I20" i="11" s="1"/>
  <c r="J18" i="11"/>
  <c r="J20" i="11" s="1"/>
  <c r="K18" i="11"/>
  <c r="K22" i="11" s="1"/>
  <c r="L18" i="11"/>
  <c r="L22" i="11" s="1"/>
  <c r="M18" i="11"/>
  <c r="M20" i="11" s="1"/>
  <c r="N18" i="11"/>
  <c r="N22" i="11" s="1"/>
  <c r="O18" i="11"/>
  <c r="O20" i="11" s="1"/>
  <c r="P18" i="11"/>
  <c r="P20" i="11" s="1"/>
  <c r="Q18" i="11"/>
  <c r="Q22" i="11" s="1"/>
  <c r="R18" i="11"/>
  <c r="R20" i="11" s="1"/>
  <c r="S18" i="11"/>
  <c r="S20" i="11" s="1"/>
  <c r="I19" i="11"/>
  <c r="J19" i="11"/>
  <c r="K19" i="11"/>
  <c r="L19" i="11"/>
  <c r="M19" i="11"/>
  <c r="N19" i="11"/>
  <c r="O19" i="11"/>
  <c r="P19" i="11"/>
  <c r="Q19" i="11"/>
  <c r="R19" i="11"/>
  <c r="S19" i="11"/>
  <c r="L6" i="18" l="1"/>
  <c r="S22" i="11"/>
  <c r="M22" i="11"/>
  <c r="Q20" i="11"/>
  <c r="Q21" i="11" s="1"/>
  <c r="Q23" i="11" s="1"/>
  <c r="S24" i="11"/>
  <c r="M21" i="11"/>
  <c r="R21" i="11"/>
  <c r="K20" i="11"/>
  <c r="K21" i="11" s="1"/>
  <c r="K23" i="11" s="1"/>
  <c r="M24" i="11"/>
  <c r="O21" i="11"/>
  <c r="N20" i="11"/>
  <c r="N21" i="11" s="1"/>
  <c r="N23" i="11" s="1"/>
  <c r="R22" i="11"/>
  <c r="R24" i="11"/>
  <c r="S21" i="11"/>
  <c r="S23" i="11" s="1"/>
  <c r="P22" i="11"/>
  <c r="O22" i="11"/>
  <c r="O24" i="11"/>
  <c r="L20" i="11"/>
  <c r="L24" i="11" s="1"/>
  <c r="J21" i="11"/>
  <c r="J24" i="11"/>
  <c r="J22" i="11"/>
  <c r="I22" i="11"/>
  <c r="I21" i="11"/>
  <c r="I24" i="11"/>
  <c r="Y37" i="4"/>
  <c r="Y38" i="4" s="1"/>
  <c r="Y40" i="4" s="1"/>
  <c r="CS115" i="4"/>
  <c r="CS116" i="4" s="1"/>
  <c r="P21" i="11"/>
  <c r="P24" i="11"/>
  <c r="AB8" i="3"/>
  <c r="KH93" i="4"/>
  <c r="KH92" i="4"/>
  <c r="KH91" i="4"/>
  <c r="KH90" i="4"/>
  <c r="KI93" i="4"/>
  <c r="KI92" i="4"/>
  <c r="KI91" i="4"/>
  <c r="KI90" i="4"/>
  <c r="AB9" i="3"/>
  <c r="CT114" i="4"/>
  <c r="CT113" i="4"/>
  <c r="CT112" i="4"/>
  <c r="CT111" i="4"/>
  <c r="M23" i="11" l="1"/>
  <c r="I6" i="18"/>
  <c r="G6" i="18"/>
  <c r="KI94" i="4"/>
  <c r="KH94" i="4"/>
  <c r="R23" i="11"/>
  <c r="Q24" i="11"/>
  <c r="O23" i="11"/>
  <c r="K24" i="11"/>
  <c r="P23" i="11"/>
  <c r="N24" i="11"/>
  <c r="L21" i="11"/>
  <c r="L23" i="11" s="1"/>
  <c r="I23" i="11"/>
  <c r="J23" i="11"/>
  <c r="Y41" i="4"/>
  <c r="CT115" i="4"/>
  <c r="CT116" i="4" s="1"/>
  <c r="H56" i="3" l="1"/>
  <c r="DB114" i="4" l="1"/>
  <c r="DB113" i="4"/>
  <c r="DB112" i="4"/>
  <c r="DB111" i="4"/>
  <c r="DA114" i="4"/>
  <c r="CZ114" i="4"/>
  <c r="DA113" i="4"/>
  <c r="CZ113" i="4"/>
  <c r="DA112" i="4"/>
  <c r="CZ112" i="4"/>
  <c r="DA111" i="4"/>
  <c r="CZ111" i="4"/>
  <c r="CX114" i="4"/>
  <c r="CX113" i="4"/>
  <c r="CX112" i="4"/>
  <c r="CX111" i="4"/>
  <c r="DD114" i="4"/>
  <c r="DD113" i="4"/>
  <c r="DD112" i="4"/>
  <c r="DD111" i="4"/>
  <c r="DC114" i="4"/>
  <c r="DC113" i="4"/>
  <c r="DC112" i="4"/>
  <c r="DC111" i="4"/>
  <c r="CY114" i="4"/>
  <c r="CY113" i="4"/>
  <c r="CY112" i="4"/>
  <c r="CY111" i="4"/>
  <c r="CW114" i="4"/>
  <c r="CW113" i="4"/>
  <c r="CW112" i="4"/>
  <c r="CW111" i="4"/>
  <c r="CV114" i="4"/>
  <c r="CV113" i="4"/>
  <c r="CV112" i="4"/>
  <c r="CV111" i="4"/>
  <c r="CU114" i="4"/>
  <c r="CU113" i="4"/>
  <c r="CU112" i="4"/>
  <c r="CU111" i="4"/>
  <c r="KJ93" i="4"/>
  <c r="KJ92" i="4"/>
  <c r="KJ91" i="4"/>
  <c r="KJ90" i="4"/>
  <c r="KK93" i="4"/>
  <c r="KK92" i="4"/>
  <c r="KK91" i="4"/>
  <c r="KK90" i="4"/>
  <c r="KL93" i="4"/>
  <c r="KL92" i="4"/>
  <c r="KL91" i="4"/>
  <c r="KL90" i="4"/>
  <c r="KL94" i="4" l="1"/>
  <c r="KK94" i="4"/>
  <c r="KJ94" i="4"/>
  <c r="DA115" i="4"/>
  <c r="CV115" i="4"/>
  <c r="CV116" i="4" s="1"/>
  <c r="CW115" i="4"/>
  <c r="CW116" i="4" s="1"/>
  <c r="CX115" i="4"/>
  <c r="CX116" i="4" s="1"/>
  <c r="DB115" i="4"/>
  <c r="DB116" i="4" s="1"/>
  <c r="CY115" i="4"/>
  <c r="CY116" i="4" s="1"/>
  <c r="DC115" i="4"/>
  <c r="DC116" i="4" s="1"/>
  <c r="DD115" i="4"/>
  <c r="DD116" i="4" s="1"/>
  <c r="DA116" i="4"/>
  <c r="CZ115" i="4"/>
  <c r="CZ116" i="4" s="1"/>
  <c r="CU115" i="4"/>
  <c r="CU116" i="4" s="1"/>
  <c r="X36" i="4"/>
  <c r="X35" i="4"/>
  <c r="X39" i="4" s="1"/>
  <c r="O56" i="3"/>
  <c r="X37" i="4" l="1"/>
  <c r="X38" i="4" s="1"/>
  <c r="X40" i="4" s="1"/>
  <c r="X41" i="4" l="1"/>
  <c r="F56" i="3" l="1"/>
  <c r="D56" i="3" s="1"/>
  <c r="I61" i="3"/>
  <c r="F61" i="3" s="1"/>
  <c r="D61" i="3" s="1"/>
  <c r="I57" i="3"/>
  <c r="F57" i="3" s="1"/>
  <c r="D57" i="3" s="1"/>
  <c r="I59" i="3"/>
  <c r="F59" i="3" s="1"/>
  <c r="D59" i="3" s="1"/>
  <c r="H55" i="3" l="1"/>
  <c r="AB10" i="3"/>
  <c r="AA5" i="3"/>
  <c r="KM93" i="4"/>
  <c r="KM92" i="4"/>
  <c r="KM91" i="4"/>
  <c r="KM90" i="4"/>
  <c r="KN93" i="4"/>
  <c r="KN92" i="4"/>
  <c r="KN91" i="4"/>
  <c r="KN90" i="4"/>
  <c r="KN94" i="4" l="1"/>
  <c r="KM94" i="4"/>
  <c r="F55" i="3"/>
  <c r="D55" i="3" s="1"/>
  <c r="O55" i="3" l="1"/>
  <c r="H54" i="3" l="1"/>
  <c r="AA6" i="3"/>
  <c r="Q6" i="18" l="1"/>
  <c r="Q5" i="18"/>
  <c r="Q7" i="18"/>
  <c r="Q8" i="18"/>
  <c r="Q9" i="18"/>
  <c r="Q10" i="18"/>
  <c r="Q14" i="18"/>
  <c r="Q4" i="18"/>
  <c r="N5" i="18" l="1"/>
  <c r="N4" i="18"/>
  <c r="N6" i="18"/>
  <c r="N10" i="18"/>
  <c r="M10" i="18"/>
  <c r="N8" i="18"/>
  <c r="M9" i="18"/>
  <c r="KO93" i="4"/>
  <c r="KO92" i="4"/>
  <c r="KO91" i="4"/>
  <c r="KO90" i="4"/>
  <c r="DE114" i="4"/>
  <c r="DE113" i="4"/>
  <c r="DE112" i="4"/>
  <c r="DE111" i="4"/>
  <c r="KP93" i="4"/>
  <c r="KP92" i="4"/>
  <c r="KP91" i="4"/>
  <c r="KP90" i="4"/>
  <c r="O54" i="3"/>
  <c r="L10" i="18" l="1"/>
  <c r="I10" i="18" s="1"/>
  <c r="M2" i="18"/>
  <c r="L9" i="18"/>
  <c r="G10" i="18"/>
  <c r="KP94" i="4"/>
  <c r="KO94" i="4"/>
  <c r="E4" i="18"/>
  <c r="P7" i="18"/>
  <c r="P8" i="18"/>
  <c r="P5" i="18"/>
  <c r="P4" i="18"/>
  <c r="P10" i="18"/>
  <c r="DE115" i="4"/>
  <c r="DE116" i="4" s="1"/>
  <c r="DF114" i="4"/>
  <c r="DF113" i="4"/>
  <c r="DF112" i="4"/>
  <c r="DF111" i="4"/>
  <c r="DG114" i="4"/>
  <c r="DG113" i="4"/>
  <c r="DG112" i="4"/>
  <c r="DG111" i="4"/>
  <c r="KQ91" i="4"/>
  <c r="KS90" i="4"/>
  <c r="KT90" i="4"/>
  <c r="KU90" i="4"/>
  <c r="KV90" i="4"/>
  <c r="KW90" i="4"/>
  <c r="KX90" i="4"/>
  <c r="KY90" i="4"/>
  <c r="KZ90" i="4"/>
  <c r="LA90" i="4"/>
  <c r="LB90" i="4"/>
  <c r="LC90" i="4"/>
  <c r="LD90" i="4"/>
  <c r="LE90" i="4"/>
  <c r="LF90" i="4"/>
  <c r="LG90" i="4"/>
  <c r="LH90" i="4"/>
  <c r="LI90" i="4"/>
  <c r="LJ90" i="4"/>
  <c r="LK90" i="4"/>
  <c r="LL90" i="4"/>
  <c r="LM90" i="4"/>
  <c r="LN90" i="4"/>
  <c r="LO90" i="4"/>
  <c r="LP90" i="4"/>
  <c r="LQ90" i="4"/>
  <c r="LR90" i="4"/>
  <c r="LS90" i="4"/>
  <c r="LT90" i="4"/>
  <c r="LU90" i="4"/>
  <c r="LV90" i="4"/>
  <c r="LW90" i="4"/>
  <c r="LX90" i="4"/>
  <c r="LY90" i="4"/>
  <c r="LZ90" i="4"/>
  <c r="MA90" i="4"/>
  <c r="MB90" i="4"/>
  <c r="MC90" i="4"/>
  <c r="MD90" i="4"/>
  <c r="ME90" i="4"/>
  <c r="MF90" i="4"/>
  <c r="MG90" i="4"/>
  <c r="MH90" i="4"/>
  <c r="MI90" i="4"/>
  <c r="MJ90" i="4"/>
  <c r="MK90" i="4"/>
  <c r="ML90" i="4"/>
  <c r="MM90" i="4"/>
  <c r="MN90" i="4"/>
  <c r="MO90" i="4"/>
  <c r="MP90" i="4"/>
  <c r="MQ90" i="4"/>
  <c r="MR90" i="4"/>
  <c r="MS90" i="4"/>
  <c r="KS91" i="4"/>
  <c r="KT91" i="4"/>
  <c r="KU91" i="4"/>
  <c r="KV91" i="4"/>
  <c r="KW91" i="4"/>
  <c r="KX91" i="4"/>
  <c r="KY91" i="4"/>
  <c r="KZ91" i="4"/>
  <c r="LA91" i="4"/>
  <c r="LB91" i="4"/>
  <c r="LC91" i="4"/>
  <c r="LD91" i="4"/>
  <c r="LE91" i="4"/>
  <c r="LF91" i="4"/>
  <c r="LG91" i="4"/>
  <c r="LH91" i="4"/>
  <c r="LI91" i="4"/>
  <c r="LJ91" i="4"/>
  <c r="LK91" i="4"/>
  <c r="LL91" i="4"/>
  <c r="LM91" i="4"/>
  <c r="LN91" i="4"/>
  <c r="LO91" i="4"/>
  <c r="LP91" i="4"/>
  <c r="LQ91" i="4"/>
  <c r="LR91" i="4"/>
  <c r="LS91" i="4"/>
  <c r="LT91" i="4"/>
  <c r="LU91" i="4"/>
  <c r="LV91" i="4"/>
  <c r="LW91" i="4"/>
  <c r="LX91" i="4"/>
  <c r="LY91" i="4"/>
  <c r="LZ91" i="4"/>
  <c r="MA91" i="4"/>
  <c r="MB91" i="4"/>
  <c r="MC91" i="4"/>
  <c r="MD91" i="4"/>
  <c r="ME91" i="4"/>
  <c r="MF91" i="4"/>
  <c r="MG91" i="4"/>
  <c r="MH91" i="4"/>
  <c r="MI91" i="4"/>
  <c r="MJ91" i="4"/>
  <c r="MK91" i="4"/>
  <c r="ML91" i="4"/>
  <c r="MM91" i="4"/>
  <c r="MN91" i="4"/>
  <c r="MO91" i="4"/>
  <c r="MP91" i="4"/>
  <c r="MQ91" i="4"/>
  <c r="MR91" i="4"/>
  <c r="MS91" i="4"/>
  <c r="KS92" i="4"/>
  <c r="KT92" i="4"/>
  <c r="KU92" i="4"/>
  <c r="KV92" i="4"/>
  <c r="KW92" i="4"/>
  <c r="KX92" i="4"/>
  <c r="KY92" i="4"/>
  <c r="KZ92" i="4"/>
  <c r="LA92" i="4"/>
  <c r="LB92" i="4"/>
  <c r="LC92" i="4"/>
  <c r="LD92" i="4"/>
  <c r="LE92" i="4"/>
  <c r="LF92" i="4"/>
  <c r="LG92" i="4"/>
  <c r="LH92" i="4"/>
  <c r="LI92" i="4"/>
  <c r="LJ92" i="4"/>
  <c r="LK92" i="4"/>
  <c r="LL92" i="4"/>
  <c r="LM92" i="4"/>
  <c r="LN92" i="4"/>
  <c r="LO92" i="4"/>
  <c r="LP92" i="4"/>
  <c r="LQ92" i="4"/>
  <c r="LR92" i="4"/>
  <c r="LS92" i="4"/>
  <c r="LT92" i="4"/>
  <c r="LU92" i="4"/>
  <c r="LV92" i="4"/>
  <c r="LW92" i="4"/>
  <c r="LX92" i="4"/>
  <c r="LY92" i="4"/>
  <c r="LZ92" i="4"/>
  <c r="MA92" i="4"/>
  <c r="MB92" i="4"/>
  <c r="MC92" i="4"/>
  <c r="MD92" i="4"/>
  <c r="ME92" i="4"/>
  <c r="MF92" i="4"/>
  <c r="MG92" i="4"/>
  <c r="MH92" i="4"/>
  <c r="MI92" i="4"/>
  <c r="MJ92" i="4"/>
  <c r="MK92" i="4"/>
  <c r="ML92" i="4"/>
  <c r="MM92" i="4"/>
  <c r="MN92" i="4"/>
  <c r="MO92" i="4"/>
  <c r="MP92" i="4"/>
  <c r="MQ92" i="4"/>
  <c r="MR92" i="4"/>
  <c r="MS92" i="4"/>
  <c r="KS93" i="4"/>
  <c r="KS94" i="4" s="1"/>
  <c r="KT93" i="4"/>
  <c r="KU93" i="4"/>
  <c r="KV93" i="4"/>
  <c r="KW93" i="4"/>
  <c r="KX93" i="4"/>
  <c r="KY93" i="4"/>
  <c r="KY94" i="4" s="1"/>
  <c r="KZ93" i="4"/>
  <c r="KZ94" i="4" s="1"/>
  <c r="LA93" i="4"/>
  <c r="LB93" i="4"/>
  <c r="LB94" i="4" s="1"/>
  <c r="LC93" i="4"/>
  <c r="LD93" i="4"/>
  <c r="LE93" i="4"/>
  <c r="LF93" i="4"/>
  <c r="LG93" i="4"/>
  <c r="LH93" i="4"/>
  <c r="LI93" i="4"/>
  <c r="LJ93" i="4"/>
  <c r="LK93" i="4"/>
  <c r="LL93" i="4"/>
  <c r="LM93" i="4"/>
  <c r="LN93" i="4"/>
  <c r="LO93" i="4"/>
  <c r="LP93" i="4"/>
  <c r="LQ93" i="4"/>
  <c r="LR93" i="4"/>
  <c r="LS93" i="4"/>
  <c r="LT93" i="4"/>
  <c r="LU93" i="4"/>
  <c r="LV93" i="4"/>
  <c r="LW93" i="4"/>
  <c r="LX93" i="4"/>
  <c r="LY93" i="4"/>
  <c r="LZ93" i="4"/>
  <c r="MA93" i="4"/>
  <c r="MB93" i="4"/>
  <c r="MC93" i="4"/>
  <c r="MD93" i="4"/>
  <c r="ME93" i="4"/>
  <c r="MF93" i="4"/>
  <c r="MG93" i="4"/>
  <c r="MH93" i="4"/>
  <c r="MI93" i="4"/>
  <c r="MJ93" i="4"/>
  <c r="MK93" i="4"/>
  <c r="ML93" i="4"/>
  <c r="MM93" i="4"/>
  <c r="MN93" i="4"/>
  <c r="MO93" i="4"/>
  <c r="MP93" i="4"/>
  <c r="MQ93" i="4"/>
  <c r="MR93" i="4"/>
  <c r="MS93" i="4"/>
  <c r="KR91" i="4"/>
  <c r="KQ93" i="4"/>
  <c r="KQ92" i="4"/>
  <c r="KQ90" i="4"/>
  <c r="AA7" i="3"/>
  <c r="F26" i="18" l="1"/>
  <c r="F25" i="18"/>
  <c r="I9" i="18"/>
  <c r="I2" i="18" s="1"/>
  <c r="H2" i="18" s="1"/>
  <c r="G9" i="18"/>
  <c r="F24" i="18"/>
  <c r="F23" i="18"/>
  <c r="MS94" i="4"/>
  <c r="MO94" i="4"/>
  <c r="MK94" i="4"/>
  <c r="MG94" i="4"/>
  <c r="MC94" i="4"/>
  <c r="LY94" i="4"/>
  <c r="LU94" i="4"/>
  <c r="LQ94" i="4"/>
  <c r="LM94" i="4"/>
  <c r="LI94" i="4"/>
  <c r="LE94" i="4"/>
  <c r="LA94" i="4"/>
  <c r="KW94" i="4"/>
  <c r="MP94" i="4"/>
  <c r="ML94" i="4"/>
  <c r="MH94" i="4"/>
  <c r="MD94" i="4"/>
  <c r="LZ94" i="4"/>
  <c r="LV94" i="4"/>
  <c r="LR94" i="4"/>
  <c r="LN94" i="4"/>
  <c r="LJ94" i="4"/>
  <c r="LF94" i="4"/>
  <c r="KX94" i="4"/>
  <c r="KT94" i="4"/>
  <c r="MR94" i="4"/>
  <c r="MJ94" i="4"/>
  <c r="MB94" i="4"/>
  <c r="LT94" i="4"/>
  <c r="LL94" i="4"/>
  <c r="LD94" i="4"/>
  <c r="KQ94" i="4"/>
  <c r="MQ94" i="4"/>
  <c r="MM94" i="4"/>
  <c r="MI94" i="4"/>
  <c r="ME94" i="4"/>
  <c r="MA94" i="4"/>
  <c r="LW94" i="4"/>
  <c r="LS94" i="4"/>
  <c r="LO94" i="4"/>
  <c r="LK94" i="4"/>
  <c r="LG94" i="4"/>
  <c r="LC94" i="4"/>
  <c r="KU94" i="4"/>
  <c r="MN94" i="4"/>
  <c r="MF94" i="4"/>
  <c r="LX94" i="4"/>
  <c r="LP94" i="4"/>
  <c r="LH94" i="4"/>
  <c r="KV94" i="4"/>
  <c r="F21" i="18"/>
  <c r="F22" i="18"/>
  <c r="P9" i="18"/>
  <c r="F20" i="18"/>
  <c r="F17" i="18"/>
  <c r="F18" i="18"/>
  <c r="F19" i="18"/>
  <c r="F16" i="18"/>
  <c r="F15" i="18"/>
  <c r="F13" i="18"/>
  <c r="F12" i="18"/>
  <c r="P6" i="18"/>
  <c r="P14" i="18"/>
  <c r="F6" i="18"/>
  <c r="F11" i="18"/>
  <c r="F8" i="18"/>
  <c r="F10" i="18"/>
  <c r="F5" i="18"/>
  <c r="F7" i="18"/>
  <c r="F14" i="18"/>
  <c r="F9" i="18"/>
  <c r="F4" i="18"/>
  <c r="DF115" i="4"/>
  <c r="DF116" i="4" s="1"/>
  <c r="DG115" i="4"/>
  <c r="DG116" i="4" s="1"/>
  <c r="DH114" i="4"/>
  <c r="DH113" i="4"/>
  <c r="DH112" i="4"/>
  <c r="DH111" i="4"/>
  <c r="KR93" i="4"/>
  <c r="KR94" i="4" s="1"/>
  <c r="KR92" i="4"/>
  <c r="KR90" i="4"/>
  <c r="F54" i="3"/>
  <c r="D54" i="3" s="1"/>
  <c r="DI114" i="4"/>
  <c r="DI113" i="4"/>
  <c r="DI112" i="4"/>
  <c r="DI111" i="4"/>
  <c r="D96" i="4" l="1"/>
  <c r="DH115" i="4"/>
  <c r="DH116" i="4" s="1"/>
  <c r="DI115" i="4"/>
  <c r="DI116" i="4" s="1"/>
  <c r="DJ114" i="4" l="1"/>
  <c r="DJ113" i="4"/>
  <c r="DJ112" i="4"/>
  <c r="DJ111" i="4"/>
  <c r="DL111" i="4"/>
  <c r="DL112" i="4"/>
  <c r="DL113" i="4"/>
  <c r="DL114" i="4"/>
  <c r="DM111" i="4"/>
  <c r="DN111" i="4"/>
  <c r="DO111" i="4"/>
  <c r="DP111" i="4"/>
  <c r="DQ111" i="4"/>
  <c r="DR111" i="4"/>
  <c r="DM112" i="4"/>
  <c r="DN112" i="4"/>
  <c r="DO112" i="4"/>
  <c r="DP112" i="4"/>
  <c r="DQ112" i="4"/>
  <c r="DR112" i="4"/>
  <c r="DM113" i="4"/>
  <c r="DN113" i="4"/>
  <c r="DO113" i="4"/>
  <c r="DP113" i="4"/>
  <c r="DQ113" i="4"/>
  <c r="DR113" i="4"/>
  <c r="DM114" i="4"/>
  <c r="DN114" i="4"/>
  <c r="DO114" i="4"/>
  <c r="DP114" i="4"/>
  <c r="DQ114" i="4"/>
  <c r="DR114" i="4"/>
  <c r="DN115" i="4" l="1"/>
  <c r="DN116" i="4" s="1"/>
  <c r="DQ115" i="4"/>
  <c r="DQ116" i="4" s="1"/>
  <c r="DM115" i="4"/>
  <c r="DM116" i="4" s="1"/>
  <c r="DL115" i="4"/>
  <c r="DL116" i="4" s="1"/>
  <c r="DJ115" i="4"/>
  <c r="DJ116" i="4" s="1"/>
  <c r="DP115" i="4"/>
  <c r="DP116" i="4" s="1"/>
  <c r="DR115" i="4"/>
  <c r="DR116" i="4" s="1"/>
  <c r="DO115" i="4"/>
  <c r="DO116" i="4" s="1"/>
  <c r="AA8" i="3" l="1"/>
  <c r="O53" i="3"/>
  <c r="H53" i="3"/>
  <c r="AA9" i="3" l="1"/>
  <c r="DK114" i="4"/>
  <c r="DK113" i="4"/>
  <c r="DK112" i="4"/>
  <c r="DK111" i="4"/>
  <c r="DK115" i="4" l="1"/>
  <c r="DK116" i="4" s="1"/>
  <c r="AA10" i="3"/>
  <c r="H52" i="3" l="1"/>
  <c r="F53" i="3"/>
  <c r="D53" i="3" s="1"/>
  <c r="Z5" i="3"/>
  <c r="Z6" i="3" l="1"/>
  <c r="O52" i="3"/>
  <c r="Z7" i="3" l="1"/>
  <c r="Z8" i="3"/>
  <c r="F52" i="3" l="1"/>
  <c r="D52" i="3" s="1"/>
  <c r="M29" i="3"/>
  <c r="A52" i="3"/>
  <c r="Z9" i="3"/>
  <c r="Z10" i="3"/>
  <c r="N5" i="5"/>
  <c r="H70" i="11" l="1"/>
  <c r="A51" i="3" l="1"/>
  <c r="Y5" i="3"/>
  <c r="H51" i="3"/>
  <c r="Y6" i="3" l="1"/>
  <c r="O51" i="3"/>
  <c r="Y7" i="3" l="1"/>
  <c r="Y8" i="3" l="1"/>
  <c r="Y9" i="3"/>
  <c r="F51" i="3"/>
  <c r="D51" i="3" s="1"/>
  <c r="Y10" i="3"/>
  <c r="X5" i="3"/>
  <c r="A50" i="3"/>
  <c r="X6" i="3" l="1"/>
  <c r="H50" i="3"/>
  <c r="X7" i="3"/>
  <c r="X8" i="3"/>
  <c r="X9" i="3" l="1"/>
  <c r="X10" i="3"/>
  <c r="W5" i="3"/>
  <c r="W6" i="3" l="1"/>
  <c r="W7" i="3"/>
  <c r="O50" i="3"/>
  <c r="F50" i="3" l="1"/>
  <c r="D50" i="3" s="1"/>
  <c r="W8" i="3" l="1"/>
  <c r="H49" i="3"/>
  <c r="W9" i="3" l="1"/>
  <c r="O49" i="3"/>
  <c r="A49" i="3" l="1"/>
  <c r="F49" i="3" l="1"/>
  <c r="D49" i="3" s="1"/>
  <c r="O48" i="3" l="1"/>
  <c r="H48" i="3" l="1"/>
  <c r="F48" i="3" s="1"/>
  <c r="D48" i="3" s="1"/>
  <c r="H47" i="3"/>
  <c r="W10" i="3"/>
  <c r="V5" i="3" l="1"/>
  <c r="F47" i="3" l="1"/>
  <c r="D47" i="3" s="1"/>
  <c r="V6" i="3"/>
  <c r="O47" i="3"/>
  <c r="V7" i="3"/>
  <c r="H46" i="3"/>
  <c r="V8" i="3"/>
  <c r="V9" i="3"/>
  <c r="V10" i="3"/>
  <c r="V11" i="3"/>
  <c r="U5" i="3"/>
  <c r="U6" i="3" l="1"/>
  <c r="U7" i="3"/>
  <c r="U8" i="3"/>
  <c r="O46" i="3" l="1"/>
  <c r="L35" i="4"/>
  <c r="L37" i="4" s="1"/>
  <c r="L36" i="4"/>
  <c r="W36" i="4"/>
  <c r="W35" i="4"/>
  <c r="W39" i="4" s="1"/>
  <c r="I5" i="15"/>
  <c r="H42" i="3"/>
  <c r="H43" i="3"/>
  <c r="I46" i="3"/>
  <c r="F46" i="3" s="1"/>
  <c r="D46" i="3" s="1"/>
  <c r="U9" i="3"/>
  <c r="H45" i="3"/>
  <c r="H44" i="3"/>
  <c r="U10" i="3"/>
  <c r="W37" i="4" l="1"/>
  <c r="W38" i="4" s="1"/>
  <c r="W40" i="4" s="1"/>
  <c r="L39" i="4"/>
  <c r="L41" i="4"/>
  <c r="L38" i="4"/>
  <c r="W41" i="4" l="1"/>
  <c r="L40" i="4"/>
  <c r="P7" i="3"/>
  <c r="O45" i="3"/>
  <c r="U11" i="3"/>
  <c r="I42" i="3"/>
  <c r="U12" i="3"/>
  <c r="F45" i="3" l="1"/>
  <c r="D45" i="3" s="1"/>
  <c r="F44" i="3" l="1"/>
  <c r="D44" i="3" s="1"/>
  <c r="P63" i="4"/>
  <c r="P62" i="4"/>
  <c r="P64" i="4" s="1"/>
  <c r="P68" i="4" l="1"/>
  <c r="P65" i="4"/>
  <c r="P72" i="4"/>
  <c r="P66" i="4"/>
  <c r="N5" i="3"/>
  <c r="V36" i="4"/>
  <c r="V35" i="4"/>
  <c r="V37" i="4" s="1"/>
  <c r="F43" i="3"/>
  <c r="D43" i="3" s="1"/>
  <c r="N6" i="3"/>
  <c r="O43" i="3"/>
  <c r="N7" i="3"/>
  <c r="T5" i="3"/>
  <c r="P70" i="4" l="1"/>
  <c r="P69" i="4"/>
  <c r="P67" i="4"/>
  <c r="P71" i="4"/>
  <c r="V41" i="4"/>
  <c r="V38" i="4"/>
  <c r="V39" i="4"/>
  <c r="V40" i="4" l="1"/>
  <c r="T7" i="3" l="1"/>
  <c r="T6" i="3"/>
  <c r="T8" i="3"/>
  <c r="O42" i="3"/>
  <c r="T9" i="3" l="1"/>
  <c r="T10" i="3"/>
  <c r="T11" i="3"/>
  <c r="T12" i="3" l="1"/>
  <c r="S5" i="3"/>
  <c r="S6" i="3"/>
  <c r="S7" i="3" l="1"/>
  <c r="S8" i="3"/>
  <c r="S9" i="3"/>
  <c r="S10" i="3"/>
  <c r="S11" i="3"/>
  <c r="S12" i="3"/>
  <c r="R7" i="3" l="1"/>
  <c r="F42" i="3"/>
  <c r="D42" i="3" s="1"/>
  <c r="R5" i="3"/>
  <c r="R6" i="3"/>
  <c r="R8" i="3"/>
  <c r="R9" i="3"/>
  <c r="R10" i="3" l="1"/>
  <c r="O41" i="3"/>
  <c r="Q5" i="3" l="1"/>
  <c r="H41" i="3"/>
  <c r="F41" i="3" s="1"/>
  <c r="D41" i="3" s="1"/>
  <c r="O40" i="3"/>
  <c r="H40" i="3"/>
  <c r="Q6" i="3"/>
  <c r="R11" i="3" l="1"/>
  <c r="R12" i="3"/>
  <c r="Q7" i="3"/>
  <c r="Q8" i="3"/>
  <c r="F40" i="3"/>
  <c r="D40" i="3" s="1"/>
  <c r="Q9" i="3"/>
  <c r="Q10" i="3"/>
  <c r="Q11" i="3"/>
  <c r="Q12" i="3"/>
  <c r="J641" i="16"/>
  <c r="O641" i="16" s="1"/>
  <c r="K641" i="16"/>
  <c r="M641" i="16" s="1"/>
  <c r="L641" i="16"/>
  <c r="J642" i="16"/>
  <c r="O642" i="16" s="1"/>
  <c r="K642" i="16"/>
  <c r="M642" i="16" s="1"/>
  <c r="L642" i="16"/>
  <c r="J643" i="16"/>
  <c r="O643" i="16" s="1"/>
  <c r="K643" i="16"/>
  <c r="M643" i="16" s="1"/>
  <c r="L643" i="16"/>
  <c r="J644" i="16"/>
  <c r="O644" i="16" s="1"/>
  <c r="K644" i="16"/>
  <c r="M644" i="16" s="1"/>
  <c r="L644" i="16"/>
  <c r="J645" i="16"/>
  <c r="O645" i="16" s="1"/>
  <c r="K645" i="16"/>
  <c r="M645" i="16" s="1"/>
  <c r="L645" i="16"/>
  <c r="J646" i="16"/>
  <c r="O646" i="16" s="1"/>
  <c r="K646" i="16"/>
  <c r="M646" i="16" s="1"/>
  <c r="L646" i="16"/>
  <c r="J647" i="16"/>
  <c r="O647" i="16" s="1"/>
  <c r="K647" i="16"/>
  <c r="M647" i="16" s="1"/>
  <c r="L647" i="16"/>
  <c r="J648" i="16"/>
  <c r="O648" i="16" s="1"/>
  <c r="K648" i="16"/>
  <c r="M648" i="16" s="1"/>
  <c r="L648" i="16"/>
  <c r="J649" i="16"/>
  <c r="O649" i="16" s="1"/>
  <c r="K649" i="16"/>
  <c r="M649" i="16" s="1"/>
  <c r="L649" i="16"/>
  <c r="J650" i="16"/>
  <c r="O650" i="16" s="1"/>
  <c r="K650" i="16"/>
  <c r="M650" i="16" s="1"/>
  <c r="L650" i="16"/>
  <c r="J651" i="16"/>
  <c r="O651" i="16" s="1"/>
  <c r="K651" i="16"/>
  <c r="M651" i="16" s="1"/>
  <c r="L651" i="16"/>
  <c r="J652" i="16"/>
  <c r="O652" i="16" s="1"/>
  <c r="K652" i="16"/>
  <c r="M652" i="16" s="1"/>
  <c r="L652" i="16"/>
  <c r="J653" i="16"/>
  <c r="O653" i="16" s="1"/>
  <c r="K653" i="16"/>
  <c r="M653" i="16" s="1"/>
  <c r="L653" i="16"/>
  <c r="J654" i="16"/>
  <c r="O654" i="16" s="1"/>
  <c r="K654" i="16"/>
  <c r="M654" i="16" s="1"/>
  <c r="L654" i="16"/>
  <c r="J655" i="16"/>
  <c r="O655" i="16" s="1"/>
  <c r="K655" i="16"/>
  <c r="M655" i="16" s="1"/>
  <c r="L655" i="16"/>
  <c r="J656" i="16"/>
  <c r="O656" i="16" s="1"/>
  <c r="K656" i="16"/>
  <c r="M656" i="16" s="1"/>
  <c r="L656" i="16"/>
  <c r="J657" i="16"/>
  <c r="O657" i="16" s="1"/>
  <c r="K657" i="16"/>
  <c r="M657" i="16" s="1"/>
  <c r="L657" i="16"/>
  <c r="J658" i="16"/>
  <c r="O658" i="16" s="1"/>
  <c r="K658" i="16"/>
  <c r="M658" i="16" s="1"/>
  <c r="L658" i="16"/>
  <c r="J659" i="16"/>
  <c r="O659" i="16" s="1"/>
  <c r="K659" i="16"/>
  <c r="M659" i="16" s="1"/>
  <c r="L659" i="16"/>
  <c r="J660" i="16"/>
  <c r="O660" i="16" s="1"/>
  <c r="K660" i="16"/>
  <c r="M660" i="16" s="1"/>
  <c r="L660" i="16"/>
  <c r="J661" i="16"/>
  <c r="O661" i="16" s="1"/>
  <c r="K661" i="16"/>
  <c r="M661" i="16" s="1"/>
  <c r="L661" i="16"/>
  <c r="J662" i="16"/>
  <c r="O662" i="16" s="1"/>
  <c r="K662" i="16"/>
  <c r="M662" i="16" s="1"/>
  <c r="L662" i="16"/>
  <c r="J663" i="16"/>
  <c r="O663" i="16" s="1"/>
  <c r="K663" i="16"/>
  <c r="M663" i="16" s="1"/>
  <c r="L663" i="16"/>
  <c r="J664" i="16"/>
  <c r="O664" i="16" s="1"/>
  <c r="K664" i="16"/>
  <c r="M664" i="16" s="1"/>
  <c r="L664" i="16"/>
  <c r="J665" i="16"/>
  <c r="O665" i="16" s="1"/>
  <c r="K665" i="16"/>
  <c r="M665" i="16" s="1"/>
  <c r="L665" i="16"/>
  <c r="J666" i="16"/>
  <c r="O666" i="16" s="1"/>
  <c r="K666" i="16"/>
  <c r="M666" i="16" s="1"/>
  <c r="L666" i="16"/>
  <c r="J667" i="16"/>
  <c r="O667" i="16" s="1"/>
  <c r="K667" i="16"/>
  <c r="M667" i="16" s="1"/>
  <c r="L667" i="16"/>
  <c r="J668" i="16"/>
  <c r="O668" i="16" s="1"/>
  <c r="K668" i="16"/>
  <c r="M668" i="16" s="1"/>
  <c r="L668" i="16"/>
  <c r="J669" i="16"/>
  <c r="O669" i="16" s="1"/>
  <c r="K669" i="16"/>
  <c r="M669" i="16" s="1"/>
  <c r="L669" i="16"/>
  <c r="J670" i="16"/>
  <c r="O670" i="16" s="1"/>
  <c r="K670" i="16"/>
  <c r="M670" i="16" s="1"/>
  <c r="L670" i="16"/>
  <c r="J671" i="16"/>
  <c r="O671" i="16" s="1"/>
  <c r="K671" i="16"/>
  <c r="M671" i="16" s="1"/>
  <c r="L671" i="16"/>
  <c r="J672" i="16"/>
  <c r="O672" i="16" s="1"/>
  <c r="K672" i="16"/>
  <c r="M672" i="16" s="1"/>
  <c r="L672" i="16"/>
  <c r="J673" i="16"/>
  <c r="O673" i="16" s="1"/>
  <c r="K673" i="16"/>
  <c r="M673" i="16" s="1"/>
  <c r="L673" i="16"/>
  <c r="J674" i="16"/>
  <c r="O674" i="16" s="1"/>
  <c r="K674" i="16"/>
  <c r="M674" i="16" s="1"/>
  <c r="L674" i="16"/>
  <c r="J675" i="16"/>
  <c r="O675" i="16" s="1"/>
  <c r="K675" i="16"/>
  <c r="M675" i="16" s="1"/>
  <c r="L675" i="16"/>
  <c r="J676" i="16"/>
  <c r="O676" i="16" s="1"/>
  <c r="K676" i="16"/>
  <c r="M676" i="16" s="1"/>
  <c r="L676" i="16"/>
  <c r="J677" i="16"/>
  <c r="O677" i="16" s="1"/>
  <c r="K677" i="16"/>
  <c r="M677" i="16" s="1"/>
  <c r="L677" i="16"/>
  <c r="J678" i="16"/>
  <c r="O678" i="16" s="1"/>
  <c r="K678" i="16"/>
  <c r="M678" i="16" s="1"/>
  <c r="L678" i="16"/>
  <c r="J679" i="16"/>
  <c r="O679" i="16" s="1"/>
  <c r="K679" i="16"/>
  <c r="M679" i="16" s="1"/>
  <c r="L679" i="16"/>
  <c r="J680" i="16"/>
  <c r="O680" i="16" s="1"/>
  <c r="K680" i="16"/>
  <c r="M680" i="16" s="1"/>
  <c r="L680" i="16"/>
  <c r="J681" i="16"/>
  <c r="O681" i="16" s="1"/>
  <c r="K681" i="16"/>
  <c r="M681" i="16" s="1"/>
  <c r="L681" i="16"/>
  <c r="J682" i="16"/>
  <c r="O682" i="16" s="1"/>
  <c r="K682" i="16"/>
  <c r="M682" i="16" s="1"/>
  <c r="L682" i="16"/>
  <c r="J683" i="16"/>
  <c r="O683" i="16" s="1"/>
  <c r="K683" i="16"/>
  <c r="M683" i="16" s="1"/>
  <c r="L683" i="16"/>
  <c r="J684" i="16"/>
  <c r="O684" i="16" s="1"/>
  <c r="K684" i="16"/>
  <c r="M684" i="16" s="1"/>
  <c r="L684" i="16"/>
  <c r="J685" i="16"/>
  <c r="O685" i="16" s="1"/>
  <c r="K685" i="16"/>
  <c r="M685" i="16" s="1"/>
  <c r="L685" i="16"/>
  <c r="J686" i="16"/>
  <c r="O686" i="16" s="1"/>
  <c r="K686" i="16"/>
  <c r="M686" i="16" s="1"/>
  <c r="L686" i="16"/>
  <c r="J687" i="16"/>
  <c r="O687" i="16" s="1"/>
  <c r="K687" i="16"/>
  <c r="M687" i="16" s="1"/>
  <c r="L687" i="16"/>
  <c r="J688" i="16"/>
  <c r="O688" i="16" s="1"/>
  <c r="K688" i="16"/>
  <c r="M688" i="16" s="1"/>
  <c r="L688" i="16"/>
  <c r="J689" i="16"/>
  <c r="O689" i="16" s="1"/>
  <c r="K689" i="16"/>
  <c r="M689" i="16" s="1"/>
  <c r="L689" i="16"/>
  <c r="J690" i="16"/>
  <c r="O690" i="16" s="1"/>
  <c r="K690" i="16"/>
  <c r="M690" i="16" s="1"/>
  <c r="L690" i="16"/>
  <c r="J691" i="16"/>
  <c r="O691" i="16" s="1"/>
  <c r="K691" i="16"/>
  <c r="M691" i="16" s="1"/>
  <c r="L691" i="16"/>
  <c r="J692" i="16"/>
  <c r="O692" i="16" s="1"/>
  <c r="K692" i="16"/>
  <c r="M692" i="16" s="1"/>
  <c r="L692" i="16"/>
  <c r="J693" i="16"/>
  <c r="O693" i="16" s="1"/>
  <c r="K693" i="16"/>
  <c r="M693" i="16" s="1"/>
  <c r="L693" i="16"/>
  <c r="J694" i="16"/>
  <c r="O694" i="16" s="1"/>
  <c r="K694" i="16"/>
  <c r="M694" i="16" s="1"/>
  <c r="L694" i="16"/>
  <c r="J695" i="16"/>
  <c r="O695" i="16" s="1"/>
  <c r="K695" i="16"/>
  <c r="M695" i="16" s="1"/>
  <c r="L695" i="16"/>
  <c r="J696" i="16"/>
  <c r="O696" i="16" s="1"/>
  <c r="K696" i="16"/>
  <c r="M696" i="16" s="1"/>
  <c r="L696" i="16"/>
  <c r="J697" i="16"/>
  <c r="O697" i="16" s="1"/>
  <c r="K697" i="16"/>
  <c r="M697" i="16" s="1"/>
  <c r="L697" i="16"/>
  <c r="J698" i="16"/>
  <c r="O698" i="16" s="1"/>
  <c r="K698" i="16"/>
  <c r="M698" i="16" s="1"/>
  <c r="L698" i="16"/>
  <c r="J699" i="16"/>
  <c r="O699" i="16" s="1"/>
  <c r="K699" i="16"/>
  <c r="M699" i="16" s="1"/>
  <c r="L699" i="16"/>
  <c r="J700" i="16"/>
  <c r="O700" i="16" s="1"/>
  <c r="K700" i="16"/>
  <c r="M700" i="16" s="1"/>
  <c r="L700" i="16"/>
  <c r="J581" i="16"/>
  <c r="L581" i="16"/>
  <c r="J582" i="16"/>
  <c r="L582" i="16"/>
  <c r="J583" i="16"/>
  <c r="L583" i="16"/>
  <c r="J584" i="16"/>
  <c r="L584" i="16"/>
  <c r="J585" i="16"/>
  <c r="L585" i="16"/>
  <c r="J586" i="16"/>
  <c r="L586" i="16"/>
  <c r="J587" i="16"/>
  <c r="L587" i="16"/>
  <c r="J588" i="16"/>
  <c r="L588" i="16"/>
  <c r="J589" i="16"/>
  <c r="L589" i="16"/>
  <c r="J590" i="16"/>
  <c r="L590" i="16"/>
  <c r="J591" i="16"/>
  <c r="L591" i="16"/>
  <c r="J592" i="16"/>
  <c r="L592" i="16"/>
  <c r="J593" i="16"/>
  <c r="L593" i="16"/>
  <c r="J594" i="16"/>
  <c r="L594" i="16"/>
  <c r="J595" i="16"/>
  <c r="L595" i="16"/>
  <c r="J596" i="16"/>
  <c r="L596" i="16"/>
  <c r="J597" i="16"/>
  <c r="L597" i="16"/>
  <c r="J598" i="16"/>
  <c r="L598" i="16"/>
  <c r="J599" i="16"/>
  <c r="L599" i="16"/>
  <c r="J600" i="16"/>
  <c r="L600" i="16"/>
  <c r="J601" i="16"/>
  <c r="L601" i="16"/>
  <c r="J602" i="16"/>
  <c r="L602" i="16"/>
  <c r="J603" i="16"/>
  <c r="L603" i="16"/>
  <c r="J604" i="16"/>
  <c r="L604" i="16"/>
  <c r="J605" i="16"/>
  <c r="K605" i="16"/>
  <c r="M605" i="16" s="1"/>
  <c r="L605" i="16"/>
  <c r="J606" i="16"/>
  <c r="K606" i="16"/>
  <c r="M606" i="16" s="1"/>
  <c r="L606" i="16"/>
  <c r="J607" i="16"/>
  <c r="K607" i="16"/>
  <c r="M607" i="16" s="1"/>
  <c r="L607" i="16"/>
  <c r="J608" i="16"/>
  <c r="K608" i="16"/>
  <c r="M608" i="16" s="1"/>
  <c r="L608" i="16"/>
  <c r="J609" i="16"/>
  <c r="K609" i="16"/>
  <c r="M609" i="16" s="1"/>
  <c r="L609" i="16"/>
  <c r="J610" i="16"/>
  <c r="K610" i="16"/>
  <c r="M610" i="16" s="1"/>
  <c r="L610" i="16"/>
  <c r="J611" i="16"/>
  <c r="K611" i="16"/>
  <c r="M611" i="16" s="1"/>
  <c r="L611" i="16"/>
  <c r="J612" i="16"/>
  <c r="K612" i="16"/>
  <c r="M612" i="16" s="1"/>
  <c r="L612" i="16"/>
  <c r="J613" i="16"/>
  <c r="K613" i="16"/>
  <c r="M613" i="16" s="1"/>
  <c r="L613" i="16"/>
  <c r="J614" i="16"/>
  <c r="K614" i="16"/>
  <c r="M614" i="16" s="1"/>
  <c r="L614" i="16"/>
  <c r="J615" i="16"/>
  <c r="K615" i="16"/>
  <c r="M615" i="16" s="1"/>
  <c r="L615" i="16"/>
  <c r="J616" i="16"/>
  <c r="K616" i="16"/>
  <c r="M616" i="16" s="1"/>
  <c r="L616" i="16"/>
  <c r="J617" i="16"/>
  <c r="K617" i="16"/>
  <c r="M617" i="16" s="1"/>
  <c r="L617" i="16"/>
  <c r="J618" i="16"/>
  <c r="K618" i="16"/>
  <c r="M618" i="16" s="1"/>
  <c r="L618" i="16"/>
  <c r="J619" i="16"/>
  <c r="K619" i="16"/>
  <c r="M619" i="16" s="1"/>
  <c r="L619" i="16"/>
  <c r="J620" i="16"/>
  <c r="K620" i="16"/>
  <c r="M620" i="16" s="1"/>
  <c r="L620" i="16"/>
  <c r="J621" i="16"/>
  <c r="K621" i="16"/>
  <c r="M621" i="16" s="1"/>
  <c r="L621" i="16"/>
  <c r="J622" i="16"/>
  <c r="K622" i="16"/>
  <c r="M622" i="16" s="1"/>
  <c r="L622" i="16"/>
  <c r="J623" i="16"/>
  <c r="K623" i="16"/>
  <c r="M623" i="16" s="1"/>
  <c r="L623" i="16"/>
  <c r="J624" i="16"/>
  <c r="K624" i="16"/>
  <c r="M624" i="16" s="1"/>
  <c r="L624" i="16"/>
  <c r="J625" i="16"/>
  <c r="K625" i="16"/>
  <c r="M625" i="16" s="1"/>
  <c r="L625" i="16"/>
  <c r="J626" i="16"/>
  <c r="K626" i="16"/>
  <c r="M626" i="16" s="1"/>
  <c r="L626" i="16"/>
  <c r="J627" i="16"/>
  <c r="K627" i="16"/>
  <c r="M627" i="16" s="1"/>
  <c r="L627" i="16"/>
  <c r="J628" i="16"/>
  <c r="K628" i="16"/>
  <c r="M628" i="16" s="1"/>
  <c r="L628" i="16"/>
  <c r="J629" i="16"/>
  <c r="K629" i="16"/>
  <c r="M629" i="16" s="1"/>
  <c r="L629" i="16"/>
  <c r="J630" i="16"/>
  <c r="K630" i="16"/>
  <c r="M630" i="16" s="1"/>
  <c r="L630" i="16"/>
  <c r="J631" i="16"/>
  <c r="K631" i="16"/>
  <c r="M631" i="16" s="1"/>
  <c r="L631" i="16"/>
  <c r="J632" i="16"/>
  <c r="K632" i="16"/>
  <c r="M632" i="16" s="1"/>
  <c r="L632" i="16"/>
  <c r="J633" i="16"/>
  <c r="K633" i="16"/>
  <c r="M633" i="16" s="1"/>
  <c r="L633" i="16"/>
  <c r="J634" i="16"/>
  <c r="K634" i="16"/>
  <c r="M634" i="16" s="1"/>
  <c r="L634" i="16"/>
  <c r="J635" i="16"/>
  <c r="K635" i="16"/>
  <c r="M635" i="16" s="1"/>
  <c r="L635" i="16"/>
  <c r="J636" i="16"/>
  <c r="K636" i="16"/>
  <c r="M636" i="16" s="1"/>
  <c r="L636" i="16"/>
  <c r="J637" i="16"/>
  <c r="K637" i="16"/>
  <c r="M637" i="16" s="1"/>
  <c r="L637" i="16"/>
  <c r="J638" i="16"/>
  <c r="K638" i="16"/>
  <c r="M638" i="16" s="1"/>
  <c r="L638" i="16"/>
  <c r="J639" i="16"/>
  <c r="K639" i="16"/>
  <c r="M639" i="16" s="1"/>
  <c r="L639" i="16"/>
  <c r="J640" i="16"/>
  <c r="K640" i="16"/>
  <c r="M640" i="16" s="1"/>
  <c r="L640" i="16"/>
  <c r="G604" i="16"/>
  <c r="K604" i="16" s="1"/>
  <c r="M604" i="16" s="1"/>
  <c r="G603" i="16"/>
  <c r="K603" i="16" s="1"/>
  <c r="M603" i="16" s="1"/>
  <c r="G602" i="16"/>
  <c r="K602" i="16" s="1"/>
  <c r="M602" i="16" s="1"/>
  <c r="G601" i="16"/>
  <c r="K601" i="16" s="1"/>
  <c r="M601" i="16" s="1"/>
  <c r="G600" i="16"/>
  <c r="K600" i="16" s="1"/>
  <c r="M600" i="16" s="1"/>
  <c r="G599" i="16"/>
  <c r="K599" i="16" s="1"/>
  <c r="M599" i="16" s="1"/>
  <c r="G598" i="16"/>
  <c r="K598" i="16" s="1"/>
  <c r="M598" i="16" s="1"/>
  <c r="G597" i="16"/>
  <c r="K597" i="16" s="1"/>
  <c r="M597" i="16" s="1"/>
  <c r="G596" i="16"/>
  <c r="K596" i="16" s="1"/>
  <c r="M596" i="16" s="1"/>
  <c r="G595" i="16"/>
  <c r="K595" i="16" s="1"/>
  <c r="M595" i="16" s="1"/>
  <c r="G594" i="16"/>
  <c r="K594" i="16" s="1"/>
  <c r="M594" i="16" s="1"/>
  <c r="G593" i="16"/>
  <c r="K593" i="16" s="1"/>
  <c r="M593" i="16" s="1"/>
  <c r="G592" i="16"/>
  <c r="K592" i="16" s="1"/>
  <c r="M592" i="16" s="1"/>
  <c r="G591" i="16"/>
  <c r="K591" i="16" s="1"/>
  <c r="M591" i="16" s="1"/>
  <c r="G590" i="16"/>
  <c r="K590" i="16" s="1"/>
  <c r="M590" i="16" s="1"/>
  <c r="O590" i="16" s="1"/>
  <c r="G589" i="16"/>
  <c r="K589" i="16" s="1"/>
  <c r="M589" i="16" s="1"/>
  <c r="H20" i="15"/>
  <c r="H21" i="15" s="1"/>
  <c r="G582" i="16"/>
  <c r="K582" i="16" s="1"/>
  <c r="M582" i="16" s="1"/>
  <c r="G583" i="16"/>
  <c r="K583" i="16" s="1"/>
  <c r="M583" i="16" s="1"/>
  <c r="G584" i="16"/>
  <c r="K584" i="16" s="1"/>
  <c r="M584" i="16" s="1"/>
  <c r="G585" i="16"/>
  <c r="K585" i="16" s="1"/>
  <c r="M585" i="16" s="1"/>
  <c r="N585" i="16" s="1"/>
  <c r="G586" i="16"/>
  <c r="K586" i="16" s="1"/>
  <c r="M586" i="16" s="1"/>
  <c r="G587" i="16"/>
  <c r="K587" i="16" s="1"/>
  <c r="M587" i="16" s="1"/>
  <c r="G588" i="16"/>
  <c r="K588" i="16" s="1"/>
  <c r="M588" i="16" s="1"/>
  <c r="G581" i="16"/>
  <c r="K581" i="16" s="1"/>
  <c r="M581" i="16" s="1"/>
  <c r="N581" i="16" s="1"/>
  <c r="P5" i="3"/>
  <c r="O39" i="3"/>
  <c r="H39" i="3"/>
  <c r="F39" i="3" s="1"/>
  <c r="D39" i="3" s="1"/>
  <c r="P6" i="3"/>
  <c r="P8" i="3"/>
  <c r="P9" i="3"/>
  <c r="J485" i="16"/>
  <c r="K485" i="16"/>
  <c r="M485" i="16" s="1"/>
  <c r="L485" i="16"/>
  <c r="J486" i="16"/>
  <c r="K486" i="16"/>
  <c r="M486" i="16" s="1"/>
  <c r="L486" i="16"/>
  <c r="J487" i="16"/>
  <c r="K487" i="16"/>
  <c r="M487" i="16" s="1"/>
  <c r="L487" i="16"/>
  <c r="J488" i="16"/>
  <c r="K488" i="16"/>
  <c r="M488" i="16" s="1"/>
  <c r="L488" i="16"/>
  <c r="J489" i="16"/>
  <c r="K489" i="16"/>
  <c r="M489" i="16" s="1"/>
  <c r="L489" i="16"/>
  <c r="J490" i="16"/>
  <c r="K490" i="16"/>
  <c r="M490" i="16" s="1"/>
  <c r="L490" i="16"/>
  <c r="J491" i="16"/>
  <c r="K491" i="16"/>
  <c r="M491" i="16" s="1"/>
  <c r="L491" i="16"/>
  <c r="J492" i="16"/>
  <c r="K492" i="16"/>
  <c r="M492" i="16" s="1"/>
  <c r="L492" i="16"/>
  <c r="J493" i="16"/>
  <c r="K493" i="16"/>
  <c r="M493" i="16" s="1"/>
  <c r="L493" i="16"/>
  <c r="J494" i="16"/>
  <c r="K494" i="16"/>
  <c r="M494" i="16" s="1"/>
  <c r="L494" i="16"/>
  <c r="J495" i="16"/>
  <c r="K495" i="16"/>
  <c r="M495" i="16" s="1"/>
  <c r="L495" i="16"/>
  <c r="J496" i="16"/>
  <c r="K496" i="16"/>
  <c r="M496" i="16" s="1"/>
  <c r="L496" i="16"/>
  <c r="J497" i="16"/>
  <c r="K497" i="16"/>
  <c r="M497" i="16" s="1"/>
  <c r="L497" i="16"/>
  <c r="J498" i="16"/>
  <c r="K498" i="16"/>
  <c r="M498" i="16" s="1"/>
  <c r="L498" i="16"/>
  <c r="J499" i="16"/>
  <c r="K499" i="16"/>
  <c r="M499" i="16" s="1"/>
  <c r="L499" i="16"/>
  <c r="J500" i="16"/>
  <c r="K500" i="16"/>
  <c r="M500" i="16" s="1"/>
  <c r="L500" i="16"/>
  <c r="J501" i="16"/>
  <c r="K501" i="16"/>
  <c r="M501" i="16" s="1"/>
  <c r="L501" i="16"/>
  <c r="J502" i="16"/>
  <c r="K502" i="16"/>
  <c r="M502" i="16" s="1"/>
  <c r="L502" i="16"/>
  <c r="J503" i="16"/>
  <c r="K503" i="16"/>
  <c r="M503" i="16" s="1"/>
  <c r="L503" i="16"/>
  <c r="J504" i="16"/>
  <c r="K504" i="16"/>
  <c r="M504" i="16" s="1"/>
  <c r="L504" i="16"/>
  <c r="J505" i="16"/>
  <c r="K505" i="16"/>
  <c r="M505" i="16" s="1"/>
  <c r="L505" i="16"/>
  <c r="J506" i="16"/>
  <c r="K506" i="16"/>
  <c r="M506" i="16" s="1"/>
  <c r="L506" i="16"/>
  <c r="J507" i="16"/>
  <c r="K507" i="16"/>
  <c r="M507" i="16" s="1"/>
  <c r="L507" i="16"/>
  <c r="J508" i="16"/>
  <c r="K508" i="16"/>
  <c r="M508" i="16" s="1"/>
  <c r="L508" i="16"/>
  <c r="J509" i="16"/>
  <c r="K509" i="16"/>
  <c r="M509" i="16" s="1"/>
  <c r="L509" i="16"/>
  <c r="J510" i="16"/>
  <c r="K510" i="16"/>
  <c r="M510" i="16" s="1"/>
  <c r="L510" i="16"/>
  <c r="J511" i="16"/>
  <c r="K511" i="16"/>
  <c r="M511" i="16" s="1"/>
  <c r="L511" i="16"/>
  <c r="J512" i="16"/>
  <c r="K512" i="16"/>
  <c r="M512" i="16" s="1"/>
  <c r="L512" i="16"/>
  <c r="J513" i="16"/>
  <c r="K513" i="16"/>
  <c r="M513" i="16" s="1"/>
  <c r="L513" i="16"/>
  <c r="J514" i="16"/>
  <c r="K514" i="16"/>
  <c r="M514" i="16" s="1"/>
  <c r="L514" i="16"/>
  <c r="J515" i="16"/>
  <c r="K515" i="16"/>
  <c r="M515" i="16" s="1"/>
  <c r="L515" i="16"/>
  <c r="J516" i="16"/>
  <c r="K516" i="16"/>
  <c r="M516" i="16" s="1"/>
  <c r="L516" i="16"/>
  <c r="J517" i="16"/>
  <c r="K517" i="16"/>
  <c r="M517" i="16" s="1"/>
  <c r="L517" i="16"/>
  <c r="J518" i="16"/>
  <c r="K518" i="16"/>
  <c r="M518" i="16" s="1"/>
  <c r="L518" i="16"/>
  <c r="J519" i="16"/>
  <c r="K519" i="16"/>
  <c r="M519" i="16" s="1"/>
  <c r="L519" i="16"/>
  <c r="J520" i="16"/>
  <c r="K520" i="16"/>
  <c r="M520" i="16" s="1"/>
  <c r="L520" i="16"/>
  <c r="J521" i="16"/>
  <c r="K521" i="16"/>
  <c r="M521" i="16" s="1"/>
  <c r="L521" i="16"/>
  <c r="J522" i="16"/>
  <c r="K522" i="16"/>
  <c r="M522" i="16" s="1"/>
  <c r="L522" i="16"/>
  <c r="J523" i="16"/>
  <c r="K523" i="16"/>
  <c r="M523" i="16" s="1"/>
  <c r="L523" i="16"/>
  <c r="J524" i="16"/>
  <c r="K524" i="16"/>
  <c r="M524" i="16" s="1"/>
  <c r="L524" i="16"/>
  <c r="J525" i="16"/>
  <c r="K525" i="16"/>
  <c r="M525" i="16" s="1"/>
  <c r="L525" i="16"/>
  <c r="J526" i="16"/>
  <c r="K526" i="16"/>
  <c r="M526" i="16" s="1"/>
  <c r="L526" i="16"/>
  <c r="J527" i="16"/>
  <c r="K527" i="16"/>
  <c r="M527" i="16" s="1"/>
  <c r="L527" i="16"/>
  <c r="J528" i="16"/>
  <c r="K528" i="16"/>
  <c r="M528" i="16" s="1"/>
  <c r="L528" i="16"/>
  <c r="J529" i="16"/>
  <c r="K529" i="16"/>
  <c r="M529" i="16" s="1"/>
  <c r="L529" i="16"/>
  <c r="J530" i="16"/>
  <c r="K530" i="16"/>
  <c r="M530" i="16" s="1"/>
  <c r="L530" i="16"/>
  <c r="J531" i="16"/>
  <c r="K531" i="16"/>
  <c r="M531" i="16" s="1"/>
  <c r="L531" i="16"/>
  <c r="J532" i="16"/>
  <c r="K532" i="16"/>
  <c r="M532" i="16" s="1"/>
  <c r="L532" i="16"/>
  <c r="J533" i="16"/>
  <c r="K533" i="16"/>
  <c r="M533" i="16" s="1"/>
  <c r="L533" i="16"/>
  <c r="J534" i="16"/>
  <c r="K534" i="16"/>
  <c r="M534" i="16" s="1"/>
  <c r="L534" i="16"/>
  <c r="J535" i="16"/>
  <c r="K535" i="16"/>
  <c r="M535" i="16" s="1"/>
  <c r="L535" i="16"/>
  <c r="J536" i="16"/>
  <c r="K536" i="16"/>
  <c r="M536" i="16" s="1"/>
  <c r="L536" i="16"/>
  <c r="J537" i="16"/>
  <c r="K537" i="16"/>
  <c r="M537" i="16" s="1"/>
  <c r="L537" i="16"/>
  <c r="J538" i="16"/>
  <c r="K538" i="16"/>
  <c r="M538" i="16" s="1"/>
  <c r="L538" i="16"/>
  <c r="J539" i="16"/>
  <c r="K539" i="16"/>
  <c r="M539" i="16" s="1"/>
  <c r="L539" i="16"/>
  <c r="J540" i="16"/>
  <c r="K540" i="16"/>
  <c r="M540" i="16" s="1"/>
  <c r="L540" i="16"/>
  <c r="J541" i="16"/>
  <c r="K541" i="16"/>
  <c r="M541" i="16" s="1"/>
  <c r="L541" i="16"/>
  <c r="J542" i="16"/>
  <c r="K542" i="16"/>
  <c r="M542" i="16" s="1"/>
  <c r="L542" i="16"/>
  <c r="J543" i="16"/>
  <c r="K543" i="16"/>
  <c r="M543" i="16" s="1"/>
  <c r="L543" i="16"/>
  <c r="J544" i="16"/>
  <c r="K544" i="16"/>
  <c r="M544" i="16" s="1"/>
  <c r="L544" i="16"/>
  <c r="J545" i="16"/>
  <c r="K545" i="16"/>
  <c r="M545" i="16" s="1"/>
  <c r="L545" i="16"/>
  <c r="J546" i="16"/>
  <c r="K546" i="16"/>
  <c r="M546" i="16" s="1"/>
  <c r="L546" i="16"/>
  <c r="J547" i="16"/>
  <c r="K547" i="16"/>
  <c r="M547" i="16" s="1"/>
  <c r="L547" i="16"/>
  <c r="J548" i="16"/>
  <c r="K548" i="16"/>
  <c r="M548" i="16" s="1"/>
  <c r="L548" i="16"/>
  <c r="J549" i="16"/>
  <c r="K549" i="16"/>
  <c r="M549" i="16" s="1"/>
  <c r="L549" i="16"/>
  <c r="J550" i="16"/>
  <c r="K550" i="16"/>
  <c r="M550" i="16" s="1"/>
  <c r="L550" i="16"/>
  <c r="J551" i="16"/>
  <c r="K551" i="16"/>
  <c r="M551" i="16" s="1"/>
  <c r="L551" i="16"/>
  <c r="J552" i="16"/>
  <c r="K552" i="16"/>
  <c r="M552" i="16" s="1"/>
  <c r="L552" i="16"/>
  <c r="J553" i="16"/>
  <c r="K553" i="16"/>
  <c r="M553" i="16" s="1"/>
  <c r="L553" i="16"/>
  <c r="J554" i="16"/>
  <c r="K554" i="16"/>
  <c r="M554" i="16" s="1"/>
  <c r="L554" i="16"/>
  <c r="J555" i="16"/>
  <c r="K555" i="16"/>
  <c r="M555" i="16" s="1"/>
  <c r="L555" i="16"/>
  <c r="J556" i="16"/>
  <c r="K556" i="16"/>
  <c r="M556" i="16" s="1"/>
  <c r="L556" i="16"/>
  <c r="J557" i="16"/>
  <c r="K557" i="16"/>
  <c r="M557" i="16" s="1"/>
  <c r="L557" i="16"/>
  <c r="J558" i="16"/>
  <c r="K558" i="16"/>
  <c r="M558" i="16" s="1"/>
  <c r="L558" i="16"/>
  <c r="J559" i="16"/>
  <c r="K559" i="16"/>
  <c r="M559" i="16" s="1"/>
  <c r="L559" i="16"/>
  <c r="J560" i="16"/>
  <c r="K560" i="16"/>
  <c r="M560" i="16" s="1"/>
  <c r="L560" i="16"/>
  <c r="J561" i="16"/>
  <c r="K561" i="16"/>
  <c r="M561" i="16" s="1"/>
  <c r="L561" i="16"/>
  <c r="J562" i="16"/>
  <c r="K562" i="16"/>
  <c r="M562" i="16" s="1"/>
  <c r="L562" i="16"/>
  <c r="J563" i="16"/>
  <c r="K563" i="16"/>
  <c r="M563" i="16" s="1"/>
  <c r="L563" i="16"/>
  <c r="J564" i="16"/>
  <c r="K564" i="16"/>
  <c r="M564" i="16" s="1"/>
  <c r="L564" i="16"/>
  <c r="J565" i="16"/>
  <c r="K565" i="16"/>
  <c r="M565" i="16" s="1"/>
  <c r="L565" i="16"/>
  <c r="J566" i="16"/>
  <c r="K566" i="16"/>
  <c r="M566" i="16" s="1"/>
  <c r="L566" i="16"/>
  <c r="J567" i="16"/>
  <c r="K567" i="16"/>
  <c r="M567" i="16" s="1"/>
  <c r="L567" i="16"/>
  <c r="J568" i="16"/>
  <c r="K568" i="16"/>
  <c r="M568" i="16" s="1"/>
  <c r="L568" i="16"/>
  <c r="J569" i="16"/>
  <c r="K569" i="16"/>
  <c r="M569" i="16" s="1"/>
  <c r="L569" i="16"/>
  <c r="J570" i="16"/>
  <c r="K570" i="16"/>
  <c r="M570" i="16" s="1"/>
  <c r="L570" i="16"/>
  <c r="J571" i="16"/>
  <c r="K571" i="16"/>
  <c r="M571" i="16" s="1"/>
  <c r="L571" i="16"/>
  <c r="J572" i="16"/>
  <c r="K572" i="16"/>
  <c r="M572" i="16" s="1"/>
  <c r="L572" i="16"/>
  <c r="J573" i="16"/>
  <c r="K573" i="16"/>
  <c r="M573" i="16" s="1"/>
  <c r="L573" i="16"/>
  <c r="J574" i="16"/>
  <c r="K574" i="16"/>
  <c r="M574" i="16" s="1"/>
  <c r="L574" i="16"/>
  <c r="J575" i="16"/>
  <c r="K575" i="16"/>
  <c r="M575" i="16" s="1"/>
  <c r="L575" i="16"/>
  <c r="J576" i="16"/>
  <c r="K576" i="16"/>
  <c r="M576" i="16" s="1"/>
  <c r="L576" i="16"/>
  <c r="J577" i="16"/>
  <c r="K577" i="16"/>
  <c r="M577" i="16" s="1"/>
  <c r="L577" i="16"/>
  <c r="J578" i="16"/>
  <c r="K578" i="16"/>
  <c r="M578" i="16" s="1"/>
  <c r="L578" i="16"/>
  <c r="J579" i="16"/>
  <c r="K579" i="16"/>
  <c r="M579" i="16" s="1"/>
  <c r="L579" i="16"/>
  <c r="J580" i="16"/>
  <c r="K580" i="16"/>
  <c r="M580" i="16" s="1"/>
  <c r="L580" i="16"/>
  <c r="J368" i="16"/>
  <c r="O368" i="16" s="1"/>
  <c r="J369" i="16"/>
  <c r="O369" i="16" s="1"/>
  <c r="J370" i="16"/>
  <c r="O370" i="16" s="1"/>
  <c r="J371" i="16"/>
  <c r="O371" i="16" s="1"/>
  <c r="J372" i="16"/>
  <c r="O372" i="16" s="1"/>
  <c r="J373" i="16"/>
  <c r="O373" i="16" s="1"/>
  <c r="J374" i="16"/>
  <c r="O374" i="16" s="1"/>
  <c r="J375" i="16"/>
  <c r="O375" i="16" s="1"/>
  <c r="J376" i="16"/>
  <c r="O376" i="16" s="1"/>
  <c r="J377" i="16"/>
  <c r="O377" i="16" s="1"/>
  <c r="J378" i="16"/>
  <c r="O378" i="16" s="1"/>
  <c r="J379" i="16"/>
  <c r="O379" i="16" s="1"/>
  <c r="J380" i="16"/>
  <c r="O380" i="16" s="1"/>
  <c r="J381" i="16"/>
  <c r="J382" i="16"/>
  <c r="J383" i="16"/>
  <c r="J384" i="16"/>
  <c r="J385" i="16"/>
  <c r="J386" i="16"/>
  <c r="J387" i="16"/>
  <c r="J388" i="16"/>
  <c r="J389" i="16"/>
  <c r="J390" i="16"/>
  <c r="J391" i="16"/>
  <c r="J392" i="16"/>
  <c r="J393" i="16"/>
  <c r="J394" i="16"/>
  <c r="J395" i="16"/>
  <c r="J396" i="16"/>
  <c r="J397" i="16"/>
  <c r="J398" i="16"/>
  <c r="J399" i="16"/>
  <c r="J400" i="16"/>
  <c r="J401" i="16"/>
  <c r="J402" i="16"/>
  <c r="J403" i="16"/>
  <c r="J404" i="16"/>
  <c r="J405" i="16"/>
  <c r="J406" i="16"/>
  <c r="J407" i="16"/>
  <c r="J408" i="16"/>
  <c r="J409" i="16"/>
  <c r="J410" i="16"/>
  <c r="J411" i="16"/>
  <c r="J412" i="16"/>
  <c r="J413" i="16"/>
  <c r="J414" i="16"/>
  <c r="J415" i="16"/>
  <c r="J416" i="16"/>
  <c r="J417" i="16"/>
  <c r="J418" i="16"/>
  <c r="J419" i="16"/>
  <c r="J420" i="16"/>
  <c r="J421" i="16"/>
  <c r="J422" i="16"/>
  <c r="J423" i="16"/>
  <c r="J424" i="16"/>
  <c r="J425" i="16"/>
  <c r="J426" i="16"/>
  <c r="J427" i="16"/>
  <c r="J428" i="16"/>
  <c r="J429" i="16"/>
  <c r="J430" i="16"/>
  <c r="J431" i="16"/>
  <c r="J432" i="16"/>
  <c r="J433" i="16"/>
  <c r="J434" i="16"/>
  <c r="J435" i="16"/>
  <c r="J436" i="16"/>
  <c r="J437" i="16"/>
  <c r="J438" i="16"/>
  <c r="J439" i="16"/>
  <c r="J440" i="16"/>
  <c r="J441" i="16"/>
  <c r="J442" i="16"/>
  <c r="J443" i="16"/>
  <c r="J444" i="16"/>
  <c r="J445" i="16"/>
  <c r="J446" i="16"/>
  <c r="J447" i="16"/>
  <c r="J448" i="16"/>
  <c r="J449" i="16"/>
  <c r="J450" i="16"/>
  <c r="J451" i="16"/>
  <c r="J452" i="16"/>
  <c r="J453" i="16"/>
  <c r="J454" i="16"/>
  <c r="J455" i="16"/>
  <c r="J456" i="16"/>
  <c r="J457" i="16"/>
  <c r="J458" i="16"/>
  <c r="J459" i="16"/>
  <c r="J460" i="16"/>
  <c r="J461" i="16"/>
  <c r="J462" i="16"/>
  <c r="J463" i="16"/>
  <c r="J464" i="16"/>
  <c r="J465" i="16"/>
  <c r="J466" i="16"/>
  <c r="J467" i="16"/>
  <c r="J468" i="16"/>
  <c r="J469" i="16"/>
  <c r="J470" i="16"/>
  <c r="J471" i="16"/>
  <c r="J472" i="16"/>
  <c r="J473" i="16"/>
  <c r="J474" i="16"/>
  <c r="J475" i="16"/>
  <c r="J476" i="16"/>
  <c r="J477" i="16"/>
  <c r="J478" i="16"/>
  <c r="J479" i="16"/>
  <c r="J480" i="16"/>
  <c r="J481" i="16"/>
  <c r="J482" i="16"/>
  <c r="J483" i="16"/>
  <c r="J484" i="16"/>
  <c r="K368" i="16"/>
  <c r="M368" i="16" s="1"/>
  <c r="L368" i="16"/>
  <c r="K369" i="16"/>
  <c r="M369" i="16" s="1"/>
  <c r="L369" i="16"/>
  <c r="K370" i="16"/>
  <c r="M370" i="16" s="1"/>
  <c r="L370" i="16"/>
  <c r="K371" i="16"/>
  <c r="M371" i="16" s="1"/>
  <c r="N371" i="16" s="1"/>
  <c r="L371" i="16"/>
  <c r="K372" i="16"/>
  <c r="M372" i="16" s="1"/>
  <c r="L372" i="16"/>
  <c r="K373" i="16"/>
  <c r="M373" i="16" s="1"/>
  <c r="L373" i="16"/>
  <c r="K374" i="16"/>
  <c r="M374" i="16" s="1"/>
  <c r="L374" i="16"/>
  <c r="K375" i="16"/>
  <c r="M375" i="16" s="1"/>
  <c r="L375" i="16"/>
  <c r="K376" i="16"/>
  <c r="M376" i="16" s="1"/>
  <c r="L376" i="16"/>
  <c r="K377" i="16"/>
  <c r="M377" i="16" s="1"/>
  <c r="L377" i="16"/>
  <c r="K378" i="16"/>
  <c r="M378" i="16" s="1"/>
  <c r="L378" i="16"/>
  <c r="K379" i="16"/>
  <c r="M379" i="16" s="1"/>
  <c r="N379" i="16" s="1"/>
  <c r="L379" i="16"/>
  <c r="K380" i="16"/>
  <c r="M380" i="16" s="1"/>
  <c r="L380" i="16"/>
  <c r="K381" i="16"/>
  <c r="M381" i="16" s="1"/>
  <c r="L381" i="16"/>
  <c r="K382" i="16"/>
  <c r="M382" i="16" s="1"/>
  <c r="L382" i="16"/>
  <c r="K383" i="16"/>
  <c r="M383" i="16" s="1"/>
  <c r="N383" i="16" s="1"/>
  <c r="L383" i="16"/>
  <c r="K384" i="16"/>
  <c r="M384" i="16" s="1"/>
  <c r="L384" i="16"/>
  <c r="K385" i="16"/>
  <c r="M385" i="16" s="1"/>
  <c r="L385" i="16"/>
  <c r="K386" i="16"/>
  <c r="M386" i="16" s="1"/>
  <c r="L386" i="16"/>
  <c r="K387" i="16"/>
  <c r="M387" i="16" s="1"/>
  <c r="N387" i="16" s="1"/>
  <c r="L387" i="16"/>
  <c r="K388" i="16"/>
  <c r="M388" i="16" s="1"/>
  <c r="L388" i="16"/>
  <c r="K389" i="16"/>
  <c r="M389" i="16" s="1"/>
  <c r="L389" i="16"/>
  <c r="K390" i="16"/>
  <c r="M390" i="16" s="1"/>
  <c r="L390" i="16"/>
  <c r="K391" i="16"/>
  <c r="M391" i="16" s="1"/>
  <c r="N391" i="16" s="1"/>
  <c r="L391" i="16"/>
  <c r="K392" i="16"/>
  <c r="M392" i="16" s="1"/>
  <c r="L392" i="16"/>
  <c r="K393" i="16"/>
  <c r="M393" i="16" s="1"/>
  <c r="L393" i="16"/>
  <c r="K394" i="16"/>
  <c r="M394" i="16" s="1"/>
  <c r="L394" i="16"/>
  <c r="K395" i="16"/>
  <c r="M395" i="16" s="1"/>
  <c r="N395" i="16" s="1"/>
  <c r="L395" i="16"/>
  <c r="K396" i="16"/>
  <c r="M396" i="16" s="1"/>
  <c r="L396" i="16"/>
  <c r="K397" i="16"/>
  <c r="M397" i="16" s="1"/>
  <c r="L397" i="16"/>
  <c r="K398" i="16"/>
  <c r="M398" i="16" s="1"/>
  <c r="L398" i="16"/>
  <c r="K399" i="16"/>
  <c r="M399" i="16" s="1"/>
  <c r="N399" i="16" s="1"/>
  <c r="L399" i="16"/>
  <c r="K400" i="16"/>
  <c r="M400" i="16" s="1"/>
  <c r="L400" i="16"/>
  <c r="K401" i="16"/>
  <c r="M401" i="16" s="1"/>
  <c r="L401" i="16"/>
  <c r="K402" i="16"/>
  <c r="M402" i="16" s="1"/>
  <c r="L402" i="16"/>
  <c r="K403" i="16"/>
  <c r="M403" i="16" s="1"/>
  <c r="N403" i="16" s="1"/>
  <c r="L403" i="16"/>
  <c r="K404" i="16"/>
  <c r="M404" i="16" s="1"/>
  <c r="L404" i="16"/>
  <c r="K405" i="16"/>
  <c r="M405" i="16" s="1"/>
  <c r="L405" i="16"/>
  <c r="K406" i="16"/>
  <c r="M406" i="16" s="1"/>
  <c r="L406" i="16"/>
  <c r="K407" i="16"/>
  <c r="M407" i="16" s="1"/>
  <c r="N407" i="16" s="1"/>
  <c r="L407" i="16"/>
  <c r="K408" i="16"/>
  <c r="M408" i="16" s="1"/>
  <c r="L408" i="16"/>
  <c r="K409" i="16"/>
  <c r="M409" i="16" s="1"/>
  <c r="L409" i="16"/>
  <c r="K410" i="16"/>
  <c r="M410" i="16" s="1"/>
  <c r="L410" i="16"/>
  <c r="K411" i="16"/>
  <c r="M411" i="16" s="1"/>
  <c r="N411" i="16" s="1"/>
  <c r="L411" i="16"/>
  <c r="K412" i="16"/>
  <c r="M412" i="16" s="1"/>
  <c r="L412" i="16"/>
  <c r="K413" i="16"/>
  <c r="M413" i="16" s="1"/>
  <c r="L413" i="16"/>
  <c r="K414" i="16"/>
  <c r="M414" i="16" s="1"/>
  <c r="L414" i="16"/>
  <c r="K415" i="16"/>
  <c r="M415" i="16" s="1"/>
  <c r="N415" i="16" s="1"/>
  <c r="L415" i="16"/>
  <c r="K416" i="16"/>
  <c r="M416" i="16" s="1"/>
  <c r="L416" i="16"/>
  <c r="K417" i="16"/>
  <c r="M417" i="16" s="1"/>
  <c r="L417" i="16"/>
  <c r="K418" i="16"/>
  <c r="M418" i="16" s="1"/>
  <c r="L418" i="16"/>
  <c r="K419" i="16"/>
  <c r="M419" i="16" s="1"/>
  <c r="N419" i="16" s="1"/>
  <c r="L419" i="16"/>
  <c r="K420" i="16"/>
  <c r="M420" i="16" s="1"/>
  <c r="L420" i="16"/>
  <c r="K421" i="16"/>
  <c r="M421" i="16" s="1"/>
  <c r="L421" i="16"/>
  <c r="K422" i="16"/>
  <c r="M422" i="16" s="1"/>
  <c r="L422" i="16"/>
  <c r="K423" i="16"/>
  <c r="M423" i="16" s="1"/>
  <c r="N423" i="16" s="1"/>
  <c r="L423" i="16"/>
  <c r="K424" i="16"/>
  <c r="M424" i="16" s="1"/>
  <c r="L424" i="16"/>
  <c r="K425" i="16"/>
  <c r="M425" i="16" s="1"/>
  <c r="L425" i="16"/>
  <c r="K426" i="16"/>
  <c r="M426" i="16" s="1"/>
  <c r="L426" i="16"/>
  <c r="K427" i="16"/>
  <c r="M427" i="16" s="1"/>
  <c r="N427" i="16" s="1"/>
  <c r="L427" i="16"/>
  <c r="K428" i="16"/>
  <c r="M428" i="16" s="1"/>
  <c r="L428" i="16"/>
  <c r="K429" i="16"/>
  <c r="M429" i="16" s="1"/>
  <c r="L429" i="16"/>
  <c r="K430" i="16"/>
  <c r="M430" i="16" s="1"/>
  <c r="L430" i="16"/>
  <c r="K431" i="16"/>
  <c r="M431" i="16" s="1"/>
  <c r="N431" i="16" s="1"/>
  <c r="L431" i="16"/>
  <c r="K432" i="16"/>
  <c r="M432" i="16" s="1"/>
  <c r="L432" i="16"/>
  <c r="K433" i="16"/>
  <c r="M433" i="16" s="1"/>
  <c r="L433" i="16"/>
  <c r="K434" i="16"/>
  <c r="M434" i="16" s="1"/>
  <c r="L434" i="16"/>
  <c r="K435" i="16"/>
  <c r="M435" i="16" s="1"/>
  <c r="N435" i="16" s="1"/>
  <c r="L435" i="16"/>
  <c r="K436" i="16"/>
  <c r="M436" i="16" s="1"/>
  <c r="L436" i="16"/>
  <c r="K437" i="16"/>
  <c r="M437" i="16" s="1"/>
  <c r="L437" i="16"/>
  <c r="K438" i="16"/>
  <c r="M438" i="16" s="1"/>
  <c r="L438" i="16"/>
  <c r="K439" i="16"/>
  <c r="M439" i="16" s="1"/>
  <c r="N439" i="16" s="1"/>
  <c r="L439" i="16"/>
  <c r="K440" i="16"/>
  <c r="M440" i="16" s="1"/>
  <c r="L440" i="16"/>
  <c r="K441" i="16"/>
  <c r="M441" i="16" s="1"/>
  <c r="L441" i="16"/>
  <c r="K442" i="16"/>
  <c r="M442" i="16" s="1"/>
  <c r="L442" i="16"/>
  <c r="K443" i="16"/>
  <c r="M443" i="16" s="1"/>
  <c r="N443" i="16" s="1"/>
  <c r="L443" i="16"/>
  <c r="K444" i="16"/>
  <c r="M444" i="16" s="1"/>
  <c r="L444" i="16"/>
  <c r="K445" i="16"/>
  <c r="M445" i="16" s="1"/>
  <c r="L445" i="16"/>
  <c r="K446" i="16"/>
  <c r="M446" i="16" s="1"/>
  <c r="L446" i="16"/>
  <c r="K447" i="16"/>
  <c r="M447" i="16" s="1"/>
  <c r="N447" i="16" s="1"/>
  <c r="L447" i="16"/>
  <c r="K448" i="16"/>
  <c r="M448" i="16" s="1"/>
  <c r="L448" i="16"/>
  <c r="K449" i="16"/>
  <c r="M449" i="16" s="1"/>
  <c r="L449" i="16"/>
  <c r="K450" i="16"/>
  <c r="M450" i="16" s="1"/>
  <c r="L450" i="16"/>
  <c r="K451" i="16"/>
  <c r="M451" i="16" s="1"/>
  <c r="N451" i="16" s="1"/>
  <c r="L451" i="16"/>
  <c r="K452" i="16"/>
  <c r="M452" i="16" s="1"/>
  <c r="L452" i="16"/>
  <c r="K453" i="16"/>
  <c r="M453" i="16" s="1"/>
  <c r="L453" i="16"/>
  <c r="K454" i="16"/>
  <c r="M454" i="16" s="1"/>
  <c r="L454" i="16"/>
  <c r="K455" i="16"/>
  <c r="M455" i="16" s="1"/>
  <c r="N455" i="16" s="1"/>
  <c r="L455" i="16"/>
  <c r="K456" i="16"/>
  <c r="M456" i="16" s="1"/>
  <c r="L456" i="16"/>
  <c r="K457" i="16"/>
  <c r="M457" i="16" s="1"/>
  <c r="L457" i="16"/>
  <c r="K458" i="16"/>
  <c r="M458" i="16" s="1"/>
  <c r="L458" i="16"/>
  <c r="K459" i="16"/>
  <c r="M459" i="16" s="1"/>
  <c r="L459" i="16"/>
  <c r="K460" i="16"/>
  <c r="M460" i="16" s="1"/>
  <c r="L460" i="16"/>
  <c r="K461" i="16"/>
  <c r="M461" i="16" s="1"/>
  <c r="L461" i="16"/>
  <c r="K462" i="16"/>
  <c r="M462" i="16" s="1"/>
  <c r="L462" i="16"/>
  <c r="K463" i="16"/>
  <c r="M463" i="16" s="1"/>
  <c r="L463" i="16"/>
  <c r="K464" i="16"/>
  <c r="M464" i="16" s="1"/>
  <c r="L464" i="16"/>
  <c r="K465" i="16"/>
  <c r="M465" i="16" s="1"/>
  <c r="L465" i="16"/>
  <c r="K466" i="16"/>
  <c r="M466" i="16" s="1"/>
  <c r="L466" i="16"/>
  <c r="K467" i="16"/>
  <c r="M467" i="16" s="1"/>
  <c r="N467" i="16" s="1"/>
  <c r="L467" i="16"/>
  <c r="K468" i="16"/>
  <c r="M468" i="16" s="1"/>
  <c r="L468" i="16"/>
  <c r="K469" i="16"/>
  <c r="M469" i="16" s="1"/>
  <c r="L469" i="16"/>
  <c r="K470" i="16"/>
  <c r="M470" i="16" s="1"/>
  <c r="L470" i="16"/>
  <c r="K471" i="16"/>
  <c r="M471" i="16" s="1"/>
  <c r="N471" i="16" s="1"/>
  <c r="L471" i="16"/>
  <c r="K472" i="16"/>
  <c r="M472" i="16" s="1"/>
  <c r="L472" i="16"/>
  <c r="K473" i="16"/>
  <c r="M473" i="16" s="1"/>
  <c r="L473" i="16"/>
  <c r="K474" i="16"/>
  <c r="M474" i="16" s="1"/>
  <c r="L474" i="16"/>
  <c r="K475" i="16"/>
  <c r="M475" i="16" s="1"/>
  <c r="N475" i="16" s="1"/>
  <c r="L475" i="16"/>
  <c r="K476" i="16"/>
  <c r="M476" i="16" s="1"/>
  <c r="L476" i="16"/>
  <c r="K477" i="16"/>
  <c r="M477" i="16" s="1"/>
  <c r="L477" i="16"/>
  <c r="K478" i="16"/>
  <c r="M478" i="16" s="1"/>
  <c r="L478" i="16"/>
  <c r="K479" i="16"/>
  <c r="M479" i="16" s="1"/>
  <c r="N479" i="16" s="1"/>
  <c r="L479" i="16"/>
  <c r="K480" i="16"/>
  <c r="M480" i="16" s="1"/>
  <c r="L480" i="16"/>
  <c r="K481" i="16"/>
  <c r="M481" i="16" s="1"/>
  <c r="L481" i="16"/>
  <c r="K482" i="16"/>
  <c r="M482" i="16" s="1"/>
  <c r="L482" i="16"/>
  <c r="K483" i="16"/>
  <c r="M483" i="16" s="1"/>
  <c r="N483" i="16" s="1"/>
  <c r="L483" i="16"/>
  <c r="K484" i="16"/>
  <c r="M484" i="16" s="1"/>
  <c r="L484" i="16"/>
  <c r="J18" i="16"/>
  <c r="O18" i="16" s="1"/>
  <c r="J19" i="16"/>
  <c r="O19" i="16" s="1"/>
  <c r="J20" i="16"/>
  <c r="O20" i="16" s="1"/>
  <c r="J21" i="16"/>
  <c r="O21" i="16" s="1"/>
  <c r="J22" i="16"/>
  <c r="O22" i="16" s="1"/>
  <c r="J23" i="16"/>
  <c r="O23" i="16" s="1"/>
  <c r="J24" i="16"/>
  <c r="O24" i="16" s="1"/>
  <c r="J25" i="16"/>
  <c r="O25" i="16" s="1"/>
  <c r="J26" i="16"/>
  <c r="O26" i="16" s="1"/>
  <c r="J27" i="16"/>
  <c r="O27" i="16" s="1"/>
  <c r="J28" i="16"/>
  <c r="O28" i="16" s="1"/>
  <c r="J29" i="16"/>
  <c r="O29" i="16" s="1"/>
  <c r="J30" i="16"/>
  <c r="J31" i="16"/>
  <c r="J32" i="16"/>
  <c r="J33" i="16"/>
  <c r="J34" i="16"/>
  <c r="J35" i="16"/>
  <c r="J36" i="16"/>
  <c r="J37" i="16"/>
  <c r="J38" i="16"/>
  <c r="J39" i="16"/>
  <c r="J40" i="16"/>
  <c r="J41" i="16"/>
  <c r="J42" i="16"/>
  <c r="J43" i="16"/>
  <c r="J44" i="16"/>
  <c r="J45" i="16"/>
  <c r="J46" i="16"/>
  <c r="J47" i="16"/>
  <c r="J48" i="16"/>
  <c r="J49" i="16"/>
  <c r="J50" i="16"/>
  <c r="J51" i="16"/>
  <c r="J52" i="16"/>
  <c r="J53" i="16"/>
  <c r="J54" i="16"/>
  <c r="J55" i="16"/>
  <c r="J56" i="16"/>
  <c r="J57" i="16"/>
  <c r="J58" i="16"/>
  <c r="J59" i="16"/>
  <c r="J60" i="16"/>
  <c r="J61" i="16"/>
  <c r="J62" i="16"/>
  <c r="J63" i="16"/>
  <c r="J64" i="16"/>
  <c r="J65" i="16"/>
  <c r="J66" i="16"/>
  <c r="J67" i="16"/>
  <c r="J68" i="16"/>
  <c r="J69" i="16"/>
  <c r="J70" i="16"/>
  <c r="J71" i="16"/>
  <c r="J72" i="16"/>
  <c r="J73" i="16"/>
  <c r="J74" i="16"/>
  <c r="J75" i="16"/>
  <c r="J76" i="16"/>
  <c r="J77" i="16"/>
  <c r="J78" i="16"/>
  <c r="J79" i="16"/>
  <c r="J80" i="16"/>
  <c r="J81" i="16"/>
  <c r="J82" i="16"/>
  <c r="J83" i="16"/>
  <c r="J84" i="16"/>
  <c r="J85" i="16"/>
  <c r="J86" i="16"/>
  <c r="J87" i="16"/>
  <c r="J88" i="16"/>
  <c r="J89" i="16"/>
  <c r="J90" i="16"/>
  <c r="J91" i="16"/>
  <c r="J92" i="16"/>
  <c r="J93" i="16"/>
  <c r="J94" i="16"/>
  <c r="J95" i="16"/>
  <c r="J96" i="16"/>
  <c r="J97" i="16"/>
  <c r="J98" i="16"/>
  <c r="J99" i="16"/>
  <c r="J100" i="16"/>
  <c r="J101" i="16"/>
  <c r="J102" i="16"/>
  <c r="J103" i="16"/>
  <c r="J104" i="16"/>
  <c r="J105" i="16"/>
  <c r="J106" i="16"/>
  <c r="J107" i="16"/>
  <c r="J108" i="16"/>
  <c r="J109" i="16"/>
  <c r="J110" i="16"/>
  <c r="J111" i="16"/>
  <c r="J112" i="16"/>
  <c r="J113" i="16"/>
  <c r="J114" i="16"/>
  <c r="J115" i="16"/>
  <c r="J116" i="16"/>
  <c r="J117" i="16"/>
  <c r="J118" i="16"/>
  <c r="J119" i="16"/>
  <c r="J120" i="16"/>
  <c r="J121" i="16"/>
  <c r="J122" i="16"/>
  <c r="J123" i="16"/>
  <c r="J124" i="16"/>
  <c r="J125" i="16"/>
  <c r="J126" i="16"/>
  <c r="J127" i="16"/>
  <c r="J128" i="16"/>
  <c r="J129" i="16"/>
  <c r="J130" i="16"/>
  <c r="J131" i="16"/>
  <c r="J132" i="16"/>
  <c r="J133" i="16"/>
  <c r="J134" i="16"/>
  <c r="O134" i="16" s="1"/>
  <c r="J135" i="16"/>
  <c r="O135" i="16" s="1"/>
  <c r="J136" i="16"/>
  <c r="O136" i="16" s="1"/>
  <c r="J137" i="16"/>
  <c r="O137" i="16" s="1"/>
  <c r="J138" i="16"/>
  <c r="O138" i="16" s="1"/>
  <c r="J139" i="16"/>
  <c r="O139" i="16" s="1"/>
  <c r="J140" i="16"/>
  <c r="O140" i="16" s="1"/>
  <c r="J141" i="16"/>
  <c r="O141" i="16" s="1"/>
  <c r="J142" i="16"/>
  <c r="O142" i="16" s="1"/>
  <c r="J143" i="16"/>
  <c r="O143" i="16" s="1"/>
  <c r="J144" i="16"/>
  <c r="O144" i="16" s="1"/>
  <c r="J145" i="16"/>
  <c r="O145" i="16" s="1"/>
  <c r="J146" i="16"/>
  <c r="O146" i="16" s="1"/>
  <c r="J147" i="16"/>
  <c r="J148" i="16"/>
  <c r="J149" i="16"/>
  <c r="J150" i="16"/>
  <c r="J151" i="16"/>
  <c r="J152" i="16"/>
  <c r="J153" i="16"/>
  <c r="J154" i="16"/>
  <c r="J155" i="16"/>
  <c r="J156" i="16"/>
  <c r="J157" i="16"/>
  <c r="J158" i="16"/>
  <c r="J159" i="16"/>
  <c r="J160" i="16"/>
  <c r="J161" i="16"/>
  <c r="J162" i="16"/>
  <c r="J163" i="16"/>
  <c r="J164" i="16"/>
  <c r="J165" i="16"/>
  <c r="J166" i="16"/>
  <c r="J167" i="16"/>
  <c r="J168" i="16"/>
  <c r="J169" i="16"/>
  <c r="J170" i="16"/>
  <c r="J171" i="16"/>
  <c r="J172" i="16"/>
  <c r="J173" i="16"/>
  <c r="J174" i="16"/>
  <c r="J175" i="16"/>
  <c r="J176" i="16"/>
  <c r="J177" i="16"/>
  <c r="J178" i="16"/>
  <c r="J179" i="16"/>
  <c r="J180" i="16"/>
  <c r="J181" i="16"/>
  <c r="J182" i="16"/>
  <c r="J183" i="16"/>
  <c r="J184" i="16"/>
  <c r="J185" i="16"/>
  <c r="J186" i="16"/>
  <c r="J187" i="16"/>
  <c r="J188" i="16"/>
  <c r="J189" i="16"/>
  <c r="J190" i="16"/>
  <c r="J191" i="16"/>
  <c r="J192" i="16"/>
  <c r="J193" i="16"/>
  <c r="J194" i="16"/>
  <c r="J195" i="16"/>
  <c r="J196" i="16"/>
  <c r="J197" i="16"/>
  <c r="J198" i="16"/>
  <c r="J199" i="16"/>
  <c r="J200" i="16"/>
  <c r="J201" i="16"/>
  <c r="J202" i="16"/>
  <c r="J203" i="16"/>
  <c r="J204" i="16"/>
  <c r="J205" i="16"/>
  <c r="J206" i="16"/>
  <c r="J207" i="16"/>
  <c r="J208" i="16"/>
  <c r="J209" i="16"/>
  <c r="J210" i="16"/>
  <c r="J211" i="16"/>
  <c r="J212" i="16"/>
  <c r="J213" i="16"/>
  <c r="J214" i="16"/>
  <c r="J215" i="16"/>
  <c r="J216" i="16"/>
  <c r="J217" i="16"/>
  <c r="J218" i="16"/>
  <c r="J219" i="16"/>
  <c r="J220" i="16"/>
  <c r="J221" i="16"/>
  <c r="J222" i="16"/>
  <c r="J223" i="16"/>
  <c r="J224" i="16"/>
  <c r="J225" i="16"/>
  <c r="J226" i="16"/>
  <c r="J227" i="16"/>
  <c r="J228" i="16"/>
  <c r="J229" i="16"/>
  <c r="J230" i="16"/>
  <c r="J231" i="16"/>
  <c r="J232" i="16"/>
  <c r="J233" i="16"/>
  <c r="J234" i="16"/>
  <c r="J235" i="16"/>
  <c r="J236" i="16"/>
  <c r="J237" i="16"/>
  <c r="J238" i="16"/>
  <c r="J239" i="16"/>
  <c r="J240" i="16"/>
  <c r="J241" i="16"/>
  <c r="J242" i="16"/>
  <c r="J243" i="16"/>
  <c r="J244" i="16"/>
  <c r="J245" i="16"/>
  <c r="J246" i="16"/>
  <c r="J247" i="16"/>
  <c r="J248" i="16"/>
  <c r="J249" i="16"/>
  <c r="J250" i="16"/>
  <c r="J251" i="16"/>
  <c r="O251" i="16" s="1"/>
  <c r="J252" i="16"/>
  <c r="O252" i="16" s="1"/>
  <c r="J253" i="16"/>
  <c r="O253" i="16" s="1"/>
  <c r="J254" i="16"/>
  <c r="O254" i="16" s="1"/>
  <c r="J255" i="16"/>
  <c r="O255" i="16" s="1"/>
  <c r="J256" i="16"/>
  <c r="O256" i="16" s="1"/>
  <c r="J257" i="16"/>
  <c r="O257" i="16" s="1"/>
  <c r="J258" i="16"/>
  <c r="O258" i="16" s="1"/>
  <c r="J259" i="16"/>
  <c r="O259" i="16" s="1"/>
  <c r="J260" i="16"/>
  <c r="O260" i="16" s="1"/>
  <c r="J261" i="16"/>
  <c r="O261" i="16" s="1"/>
  <c r="J262" i="16"/>
  <c r="O262" i="16" s="1"/>
  <c r="J263" i="16"/>
  <c r="O263" i="16" s="1"/>
  <c r="J264" i="16"/>
  <c r="J265" i="16"/>
  <c r="J266" i="16"/>
  <c r="J267" i="16"/>
  <c r="J268" i="16"/>
  <c r="J269" i="16"/>
  <c r="J270" i="16"/>
  <c r="J271" i="16"/>
  <c r="J272" i="16"/>
  <c r="J273" i="16"/>
  <c r="J274" i="16"/>
  <c r="J275" i="16"/>
  <c r="J276" i="16"/>
  <c r="J277" i="16"/>
  <c r="J278" i="16"/>
  <c r="J279" i="16"/>
  <c r="J280" i="16"/>
  <c r="J281" i="16"/>
  <c r="J282" i="16"/>
  <c r="J283" i="16"/>
  <c r="J284" i="16"/>
  <c r="J285" i="16"/>
  <c r="J286" i="16"/>
  <c r="J287" i="16"/>
  <c r="J288" i="16"/>
  <c r="J289" i="16"/>
  <c r="J290" i="16"/>
  <c r="J291" i="16"/>
  <c r="J292" i="16"/>
  <c r="J293" i="16"/>
  <c r="J294" i="16"/>
  <c r="J295" i="16"/>
  <c r="J296" i="16"/>
  <c r="J297" i="16"/>
  <c r="J298" i="16"/>
  <c r="J299" i="16"/>
  <c r="J300" i="16"/>
  <c r="J301" i="16"/>
  <c r="J302" i="16"/>
  <c r="J303" i="16"/>
  <c r="J304" i="16"/>
  <c r="J305" i="16"/>
  <c r="J306" i="16"/>
  <c r="J307" i="16"/>
  <c r="J308" i="16"/>
  <c r="J309" i="16"/>
  <c r="J310" i="16"/>
  <c r="J311" i="16"/>
  <c r="J312" i="16"/>
  <c r="J313" i="16"/>
  <c r="J314" i="16"/>
  <c r="J315" i="16"/>
  <c r="J316" i="16"/>
  <c r="J317" i="16"/>
  <c r="J318" i="16"/>
  <c r="J319" i="16"/>
  <c r="J320" i="16"/>
  <c r="J321" i="16"/>
  <c r="J322" i="16"/>
  <c r="J323" i="16"/>
  <c r="J324" i="16"/>
  <c r="J325" i="16"/>
  <c r="J326" i="16"/>
  <c r="J327" i="16"/>
  <c r="J328" i="16"/>
  <c r="J329" i="16"/>
  <c r="J330" i="16"/>
  <c r="J331" i="16"/>
  <c r="J332" i="16"/>
  <c r="J333" i="16"/>
  <c r="J334" i="16"/>
  <c r="J335" i="16"/>
  <c r="J336" i="16"/>
  <c r="J337" i="16"/>
  <c r="J338" i="16"/>
  <c r="J339" i="16"/>
  <c r="J340" i="16"/>
  <c r="J341" i="16"/>
  <c r="J342" i="16"/>
  <c r="J343" i="16"/>
  <c r="J344" i="16"/>
  <c r="J345" i="16"/>
  <c r="J346" i="16"/>
  <c r="J347" i="16"/>
  <c r="J348" i="16"/>
  <c r="J349" i="16"/>
  <c r="J350" i="16"/>
  <c r="J351" i="16"/>
  <c r="J352" i="16"/>
  <c r="J353" i="16"/>
  <c r="J354" i="16"/>
  <c r="J355" i="16"/>
  <c r="J356" i="16"/>
  <c r="J357" i="16"/>
  <c r="J358" i="16"/>
  <c r="J359" i="16"/>
  <c r="J360" i="16"/>
  <c r="J361" i="16"/>
  <c r="J362" i="16"/>
  <c r="J363" i="16"/>
  <c r="J364" i="16"/>
  <c r="J365" i="16"/>
  <c r="J366" i="16"/>
  <c r="J367" i="16"/>
  <c r="J17" i="16"/>
  <c r="O17" i="16" s="1"/>
  <c r="K254" i="16"/>
  <c r="M254" i="16" s="1"/>
  <c r="L254" i="16"/>
  <c r="K255" i="16"/>
  <c r="M255" i="16" s="1"/>
  <c r="N255" i="16" s="1"/>
  <c r="L255" i="16"/>
  <c r="K256" i="16"/>
  <c r="M256" i="16" s="1"/>
  <c r="L256" i="16"/>
  <c r="K257" i="16"/>
  <c r="M257" i="16" s="1"/>
  <c r="L257" i="16"/>
  <c r="K258" i="16"/>
  <c r="M258" i="16" s="1"/>
  <c r="L258" i="16"/>
  <c r="K259" i="16"/>
  <c r="M259" i="16" s="1"/>
  <c r="N259" i="16" s="1"/>
  <c r="L259" i="16"/>
  <c r="K260" i="16"/>
  <c r="M260" i="16" s="1"/>
  <c r="L260" i="16"/>
  <c r="K261" i="16"/>
  <c r="M261" i="16" s="1"/>
  <c r="L261" i="16"/>
  <c r="K262" i="16"/>
  <c r="M262" i="16" s="1"/>
  <c r="L262" i="16"/>
  <c r="K263" i="16"/>
  <c r="M263" i="16" s="1"/>
  <c r="N263" i="16" s="1"/>
  <c r="L263" i="16"/>
  <c r="K264" i="16"/>
  <c r="M264" i="16" s="1"/>
  <c r="L264" i="16"/>
  <c r="K265" i="16"/>
  <c r="M265" i="16" s="1"/>
  <c r="L265" i="16"/>
  <c r="K266" i="16"/>
  <c r="M266" i="16" s="1"/>
  <c r="L266" i="16"/>
  <c r="K267" i="16"/>
  <c r="M267" i="16" s="1"/>
  <c r="N267" i="16" s="1"/>
  <c r="L267" i="16"/>
  <c r="K268" i="16"/>
  <c r="M268" i="16" s="1"/>
  <c r="L268" i="16"/>
  <c r="K269" i="16"/>
  <c r="M269" i="16" s="1"/>
  <c r="L269" i="16"/>
  <c r="K270" i="16"/>
  <c r="M270" i="16" s="1"/>
  <c r="L270" i="16"/>
  <c r="K271" i="16"/>
  <c r="M271" i="16" s="1"/>
  <c r="N271" i="16" s="1"/>
  <c r="L271" i="16"/>
  <c r="K272" i="16"/>
  <c r="M272" i="16" s="1"/>
  <c r="L272" i="16"/>
  <c r="K273" i="16"/>
  <c r="M273" i="16" s="1"/>
  <c r="L273" i="16"/>
  <c r="K274" i="16"/>
  <c r="M274" i="16" s="1"/>
  <c r="L274" i="16"/>
  <c r="K275" i="16"/>
  <c r="M275" i="16" s="1"/>
  <c r="N275" i="16" s="1"/>
  <c r="L275" i="16"/>
  <c r="K276" i="16"/>
  <c r="M276" i="16" s="1"/>
  <c r="L276" i="16"/>
  <c r="K277" i="16"/>
  <c r="M277" i="16" s="1"/>
  <c r="L277" i="16"/>
  <c r="K278" i="16"/>
  <c r="M278" i="16" s="1"/>
  <c r="L278" i="16"/>
  <c r="K279" i="16"/>
  <c r="M279" i="16" s="1"/>
  <c r="N279" i="16" s="1"/>
  <c r="L279" i="16"/>
  <c r="K280" i="16"/>
  <c r="M280" i="16" s="1"/>
  <c r="L280" i="16"/>
  <c r="K281" i="16"/>
  <c r="M281" i="16" s="1"/>
  <c r="L281" i="16"/>
  <c r="K282" i="16"/>
  <c r="M282" i="16" s="1"/>
  <c r="L282" i="16"/>
  <c r="K283" i="16"/>
  <c r="M283" i="16" s="1"/>
  <c r="L283" i="16"/>
  <c r="K284" i="16"/>
  <c r="M284" i="16" s="1"/>
  <c r="L284" i="16"/>
  <c r="K285" i="16"/>
  <c r="M285" i="16" s="1"/>
  <c r="L285" i="16"/>
  <c r="K286" i="16"/>
  <c r="M286" i="16" s="1"/>
  <c r="L286" i="16"/>
  <c r="K287" i="16"/>
  <c r="M287" i="16" s="1"/>
  <c r="N287" i="16" s="1"/>
  <c r="L287" i="16"/>
  <c r="K288" i="16"/>
  <c r="M288" i="16" s="1"/>
  <c r="L288" i="16"/>
  <c r="K289" i="16"/>
  <c r="M289" i="16" s="1"/>
  <c r="L289" i="16"/>
  <c r="K290" i="16"/>
  <c r="M290" i="16" s="1"/>
  <c r="L290" i="16"/>
  <c r="K291" i="16"/>
  <c r="M291" i="16" s="1"/>
  <c r="L291" i="16"/>
  <c r="K292" i="16"/>
  <c r="M292" i="16" s="1"/>
  <c r="L292" i="16"/>
  <c r="K293" i="16"/>
  <c r="M293" i="16" s="1"/>
  <c r="L293" i="16"/>
  <c r="K294" i="16"/>
  <c r="M294" i="16" s="1"/>
  <c r="L294" i="16"/>
  <c r="K295" i="16"/>
  <c r="M295" i="16" s="1"/>
  <c r="L295" i="16"/>
  <c r="K296" i="16"/>
  <c r="M296" i="16" s="1"/>
  <c r="L296" i="16"/>
  <c r="K297" i="16"/>
  <c r="M297" i="16" s="1"/>
  <c r="L297" i="16"/>
  <c r="K298" i="16"/>
  <c r="M298" i="16" s="1"/>
  <c r="L298" i="16"/>
  <c r="K299" i="16"/>
  <c r="M299" i="16" s="1"/>
  <c r="L299" i="16"/>
  <c r="K300" i="16"/>
  <c r="M300" i="16" s="1"/>
  <c r="L300" i="16"/>
  <c r="K301" i="16"/>
  <c r="M301" i="16" s="1"/>
  <c r="L301" i="16"/>
  <c r="K302" i="16"/>
  <c r="M302" i="16" s="1"/>
  <c r="L302" i="16"/>
  <c r="K303" i="16"/>
  <c r="M303" i="16" s="1"/>
  <c r="N303" i="16" s="1"/>
  <c r="L303" i="16"/>
  <c r="K304" i="16"/>
  <c r="M304" i="16" s="1"/>
  <c r="L304" i="16"/>
  <c r="K305" i="16"/>
  <c r="M305" i="16" s="1"/>
  <c r="L305" i="16"/>
  <c r="K306" i="16"/>
  <c r="M306" i="16" s="1"/>
  <c r="L306" i="16"/>
  <c r="K307" i="16"/>
  <c r="M307" i="16" s="1"/>
  <c r="N307" i="16" s="1"/>
  <c r="L307" i="16"/>
  <c r="K308" i="16"/>
  <c r="M308" i="16" s="1"/>
  <c r="L308" i="16"/>
  <c r="K309" i="16"/>
  <c r="M309" i="16" s="1"/>
  <c r="L309" i="16"/>
  <c r="K310" i="16"/>
  <c r="M310" i="16" s="1"/>
  <c r="L310" i="16"/>
  <c r="K311" i="16"/>
  <c r="M311" i="16" s="1"/>
  <c r="N311" i="16" s="1"/>
  <c r="L311" i="16"/>
  <c r="K312" i="16"/>
  <c r="M312" i="16" s="1"/>
  <c r="L312" i="16"/>
  <c r="K313" i="16"/>
  <c r="M313" i="16" s="1"/>
  <c r="L313" i="16"/>
  <c r="K314" i="16"/>
  <c r="M314" i="16" s="1"/>
  <c r="L314" i="16"/>
  <c r="K315" i="16"/>
  <c r="M315" i="16" s="1"/>
  <c r="N315" i="16" s="1"/>
  <c r="L315" i="16"/>
  <c r="K316" i="16"/>
  <c r="M316" i="16" s="1"/>
  <c r="L316" i="16"/>
  <c r="K317" i="16"/>
  <c r="M317" i="16" s="1"/>
  <c r="L317" i="16"/>
  <c r="K318" i="16"/>
  <c r="M318" i="16" s="1"/>
  <c r="L318" i="16"/>
  <c r="K319" i="16"/>
  <c r="M319" i="16" s="1"/>
  <c r="N319" i="16" s="1"/>
  <c r="L319" i="16"/>
  <c r="K320" i="16"/>
  <c r="M320" i="16" s="1"/>
  <c r="L320" i="16"/>
  <c r="K321" i="16"/>
  <c r="M321" i="16" s="1"/>
  <c r="L321" i="16"/>
  <c r="K322" i="16"/>
  <c r="M322" i="16" s="1"/>
  <c r="L322" i="16"/>
  <c r="K323" i="16"/>
  <c r="M323" i="16" s="1"/>
  <c r="N323" i="16" s="1"/>
  <c r="L323" i="16"/>
  <c r="K324" i="16"/>
  <c r="M324" i="16" s="1"/>
  <c r="L324" i="16"/>
  <c r="K325" i="16"/>
  <c r="M325" i="16" s="1"/>
  <c r="L325" i="16"/>
  <c r="K326" i="16"/>
  <c r="M326" i="16" s="1"/>
  <c r="L326" i="16"/>
  <c r="K327" i="16"/>
  <c r="M327" i="16" s="1"/>
  <c r="L327" i="16"/>
  <c r="K328" i="16"/>
  <c r="M328" i="16" s="1"/>
  <c r="L328" i="16"/>
  <c r="K329" i="16"/>
  <c r="M329" i="16" s="1"/>
  <c r="L329" i="16"/>
  <c r="K330" i="16"/>
  <c r="M330" i="16" s="1"/>
  <c r="L330" i="16"/>
  <c r="K331" i="16"/>
  <c r="M331" i="16" s="1"/>
  <c r="N331" i="16" s="1"/>
  <c r="L331" i="16"/>
  <c r="K332" i="16"/>
  <c r="M332" i="16" s="1"/>
  <c r="L332" i="16"/>
  <c r="K333" i="16"/>
  <c r="M333" i="16" s="1"/>
  <c r="L333" i="16"/>
  <c r="K334" i="16"/>
  <c r="M334" i="16" s="1"/>
  <c r="L334" i="16"/>
  <c r="K335" i="16"/>
  <c r="M335" i="16" s="1"/>
  <c r="N335" i="16" s="1"/>
  <c r="L335" i="16"/>
  <c r="K336" i="16"/>
  <c r="M336" i="16" s="1"/>
  <c r="L336" i="16"/>
  <c r="K337" i="16"/>
  <c r="M337" i="16" s="1"/>
  <c r="L337" i="16"/>
  <c r="K338" i="16"/>
  <c r="M338" i="16" s="1"/>
  <c r="L338" i="16"/>
  <c r="K339" i="16"/>
  <c r="M339" i="16" s="1"/>
  <c r="N339" i="16" s="1"/>
  <c r="L339" i="16"/>
  <c r="K340" i="16"/>
  <c r="M340" i="16" s="1"/>
  <c r="L340" i="16"/>
  <c r="K341" i="16"/>
  <c r="M341" i="16" s="1"/>
  <c r="L341" i="16"/>
  <c r="K342" i="16"/>
  <c r="M342" i="16" s="1"/>
  <c r="L342" i="16"/>
  <c r="K343" i="16"/>
  <c r="M343" i="16" s="1"/>
  <c r="N343" i="16" s="1"/>
  <c r="L343" i="16"/>
  <c r="K344" i="16"/>
  <c r="M344" i="16" s="1"/>
  <c r="L344" i="16"/>
  <c r="K345" i="16"/>
  <c r="M345" i="16" s="1"/>
  <c r="L345" i="16"/>
  <c r="K346" i="16"/>
  <c r="M346" i="16" s="1"/>
  <c r="L346" i="16"/>
  <c r="K347" i="16"/>
  <c r="M347" i="16" s="1"/>
  <c r="L347" i="16"/>
  <c r="K348" i="16"/>
  <c r="M348" i="16" s="1"/>
  <c r="L348" i="16"/>
  <c r="K349" i="16"/>
  <c r="M349" i="16" s="1"/>
  <c r="L349" i="16"/>
  <c r="K350" i="16"/>
  <c r="M350" i="16" s="1"/>
  <c r="L350" i="16"/>
  <c r="K351" i="16"/>
  <c r="M351" i="16" s="1"/>
  <c r="N351" i="16" s="1"/>
  <c r="L351" i="16"/>
  <c r="K352" i="16"/>
  <c r="M352" i="16" s="1"/>
  <c r="L352" i="16"/>
  <c r="K353" i="16"/>
  <c r="M353" i="16" s="1"/>
  <c r="L353" i="16"/>
  <c r="K354" i="16"/>
  <c r="M354" i="16" s="1"/>
  <c r="L354" i="16"/>
  <c r="K355" i="16"/>
  <c r="M355" i="16" s="1"/>
  <c r="N355" i="16" s="1"/>
  <c r="L355" i="16"/>
  <c r="K356" i="16"/>
  <c r="M356" i="16" s="1"/>
  <c r="L356" i="16"/>
  <c r="K357" i="16"/>
  <c r="M357" i="16" s="1"/>
  <c r="L357" i="16"/>
  <c r="K358" i="16"/>
  <c r="M358" i="16" s="1"/>
  <c r="L358" i="16"/>
  <c r="K359" i="16"/>
  <c r="M359" i="16" s="1"/>
  <c r="N359" i="16" s="1"/>
  <c r="L359" i="16"/>
  <c r="K360" i="16"/>
  <c r="M360" i="16" s="1"/>
  <c r="L360" i="16"/>
  <c r="K361" i="16"/>
  <c r="M361" i="16" s="1"/>
  <c r="L361" i="16"/>
  <c r="K362" i="16"/>
  <c r="M362" i="16" s="1"/>
  <c r="L362" i="16"/>
  <c r="K363" i="16"/>
  <c r="M363" i="16" s="1"/>
  <c r="N363" i="16" s="1"/>
  <c r="L363" i="16"/>
  <c r="K364" i="16"/>
  <c r="M364" i="16" s="1"/>
  <c r="L364" i="16"/>
  <c r="K365" i="16"/>
  <c r="M365" i="16" s="1"/>
  <c r="L365" i="16"/>
  <c r="K366" i="16"/>
  <c r="M366" i="16" s="1"/>
  <c r="L366" i="16"/>
  <c r="K367" i="16"/>
  <c r="M367" i="16" s="1"/>
  <c r="N367" i="16" s="1"/>
  <c r="L367" i="16"/>
  <c r="K251" i="16"/>
  <c r="M251" i="16" s="1"/>
  <c r="L251" i="16"/>
  <c r="K252" i="16"/>
  <c r="M252" i="16" s="1"/>
  <c r="L252" i="16"/>
  <c r="K253" i="16"/>
  <c r="M253" i="16" s="1"/>
  <c r="L253" i="16"/>
  <c r="J5" i="15"/>
  <c r="K134" i="16"/>
  <c r="M134" i="16" s="1"/>
  <c r="L134" i="16"/>
  <c r="K135" i="16"/>
  <c r="M135" i="16" s="1"/>
  <c r="L135" i="16"/>
  <c r="K136" i="16"/>
  <c r="M136" i="16" s="1"/>
  <c r="L136" i="16"/>
  <c r="K137" i="16"/>
  <c r="M137" i="16" s="1"/>
  <c r="L137" i="16"/>
  <c r="K138" i="16"/>
  <c r="M138" i="16" s="1"/>
  <c r="L138" i="16"/>
  <c r="K139" i="16"/>
  <c r="M139" i="16" s="1"/>
  <c r="L139" i="16"/>
  <c r="K140" i="16"/>
  <c r="M140" i="16" s="1"/>
  <c r="L140" i="16"/>
  <c r="K141" i="16"/>
  <c r="M141" i="16" s="1"/>
  <c r="L141" i="16"/>
  <c r="K142" i="16"/>
  <c r="M142" i="16" s="1"/>
  <c r="L142" i="16"/>
  <c r="K143" i="16"/>
  <c r="M143" i="16" s="1"/>
  <c r="L143" i="16"/>
  <c r="K144" i="16"/>
  <c r="M144" i="16" s="1"/>
  <c r="L144" i="16"/>
  <c r="K145" i="16"/>
  <c r="M145" i="16" s="1"/>
  <c r="L145" i="16"/>
  <c r="K146" i="16"/>
  <c r="M146" i="16" s="1"/>
  <c r="L146" i="16"/>
  <c r="K147" i="16"/>
  <c r="M147" i="16" s="1"/>
  <c r="L147" i="16"/>
  <c r="K148" i="16"/>
  <c r="M148" i="16" s="1"/>
  <c r="L148" i="16"/>
  <c r="K149" i="16"/>
  <c r="M149" i="16" s="1"/>
  <c r="L149" i="16"/>
  <c r="K150" i="16"/>
  <c r="M150" i="16" s="1"/>
  <c r="L150" i="16"/>
  <c r="K151" i="16"/>
  <c r="M151" i="16" s="1"/>
  <c r="L151" i="16"/>
  <c r="K152" i="16"/>
  <c r="M152" i="16" s="1"/>
  <c r="L152" i="16"/>
  <c r="K153" i="16"/>
  <c r="M153" i="16" s="1"/>
  <c r="L153" i="16"/>
  <c r="K154" i="16"/>
  <c r="M154" i="16" s="1"/>
  <c r="L154" i="16"/>
  <c r="K155" i="16"/>
  <c r="M155" i="16" s="1"/>
  <c r="L155" i="16"/>
  <c r="K156" i="16"/>
  <c r="M156" i="16" s="1"/>
  <c r="L156" i="16"/>
  <c r="K157" i="16"/>
  <c r="M157" i="16" s="1"/>
  <c r="L157" i="16"/>
  <c r="K158" i="16"/>
  <c r="M158" i="16" s="1"/>
  <c r="L158" i="16"/>
  <c r="K159" i="16"/>
  <c r="M159" i="16" s="1"/>
  <c r="L159" i="16"/>
  <c r="K160" i="16"/>
  <c r="M160" i="16" s="1"/>
  <c r="L160" i="16"/>
  <c r="K161" i="16"/>
  <c r="M161" i="16" s="1"/>
  <c r="L161" i="16"/>
  <c r="K162" i="16"/>
  <c r="M162" i="16" s="1"/>
  <c r="L162" i="16"/>
  <c r="K163" i="16"/>
  <c r="M163" i="16" s="1"/>
  <c r="L163" i="16"/>
  <c r="K164" i="16"/>
  <c r="M164" i="16" s="1"/>
  <c r="L164" i="16"/>
  <c r="K165" i="16"/>
  <c r="M165" i="16" s="1"/>
  <c r="L165" i="16"/>
  <c r="K166" i="16"/>
  <c r="M166" i="16" s="1"/>
  <c r="L166" i="16"/>
  <c r="K167" i="16"/>
  <c r="M167" i="16" s="1"/>
  <c r="L167" i="16"/>
  <c r="K168" i="16"/>
  <c r="M168" i="16" s="1"/>
  <c r="L168" i="16"/>
  <c r="K169" i="16"/>
  <c r="M169" i="16" s="1"/>
  <c r="L169" i="16"/>
  <c r="K170" i="16"/>
  <c r="M170" i="16" s="1"/>
  <c r="L170" i="16"/>
  <c r="K171" i="16"/>
  <c r="M171" i="16" s="1"/>
  <c r="L171" i="16"/>
  <c r="K172" i="16"/>
  <c r="M172" i="16" s="1"/>
  <c r="L172" i="16"/>
  <c r="K173" i="16"/>
  <c r="M173" i="16" s="1"/>
  <c r="L173" i="16"/>
  <c r="K174" i="16"/>
  <c r="M174" i="16" s="1"/>
  <c r="L174" i="16"/>
  <c r="K175" i="16"/>
  <c r="M175" i="16" s="1"/>
  <c r="L175" i="16"/>
  <c r="K176" i="16"/>
  <c r="M176" i="16" s="1"/>
  <c r="L176" i="16"/>
  <c r="K177" i="16"/>
  <c r="M177" i="16" s="1"/>
  <c r="L177" i="16"/>
  <c r="K178" i="16"/>
  <c r="M178" i="16" s="1"/>
  <c r="L178" i="16"/>
  <c r="K179" i="16"/>
  <c r="M179" i="16" s="1"/>
  <c r="L179" i="16"/>
  <c r="K180" i="16"/>
  <c r="M180" i="16" s="1"/>
  <c r="L180" i="16"/>
  <c r="K181" i="16"/>
  <c r="M181" i="16" s="1"/>
  <c r="L181" i="16"/>
  <c r="K182" i="16"/>
  <c r="M182" i="16" s="1"/>
  <c r="L182" i="16"/>
  <c r="K183" i="16"/>
  <c r="M183" i="16" s="1"/>
  <c r="L183" i="16"/>
  <c r="K184" i="16"/>
  <c r="M184" i="16" s="1"/>
  <c r="L184" i="16"/>
  <c r="K185" i="16"/>
  <c r="M185" i="16" s="1"/>
  <c r="L185" i="16"/>
  <c r="K186" i="16"/>
  <c r="M186" i="16" s="1"/>
  <c r="L186" i="16"/>
  <c r="K187" i="16"/>
  <c r="M187" i="16" s="1"/>
  <c r="L187" i="16"/>
  <c r="K188" i="16"/>
  <c r="M188" i="16" s="1"/>
  <c r="L188" i="16"/>
  <c r="K189" i="16"/>
  <c r="M189" i="16" s="1"/>
  <c r="L189" i="16"/>
  <c r="K190" i="16"/>
  <c r="M190" i="16" s="1"/>
  <c r="L190" i="16"/>
  <c r="K191" i="16"/>
  <c r="M191" i="16" s="1"/>
  <c r="L191" i="16"/>
  <c r="K192" i="16"/>
  <c r="M192" i="16" s="1"/>
  <c r="L192" i="16"/>
  <c r="K193" i="16"/>
  <c r="M193" i="16" s="1"/>
  <c r="L193" i="16"/>
  <c r="K194" i="16"/>
  <c r="M194" i="16" s="1"/>
  <c r="L194" i="16"/>
  <c r="K195" i="16"/>
  <c r="M195" i="16" s="1"/>
  <c r="L195" i="16"/>
  <c r="K196" i="16"/>
  <c r="M196" i="16" s="1"/>
  <c r="L196" i="16"/>
  <c r="K197" i="16"/>
  <c r="M197" i="16" s="1"/>
  <c r="L197" i="16"/>
  <c r="K198" i="16"/>
  <c r="M198" i="16" s="1"/>
  <c r="L198" i="16"/>
  <c r="K199" i="16"/>
  <c r="M199" i="16" s="1"/>
  <c r="L199" i="16"/>
  <c r="K200" i="16"/>
  <c r="M200" i="16" s="1"/>
  <c r="L200" i="16"/>
  <c r="K201" i="16"/>
  <c r="M201" i="16" s="1"/>
  <c r="L201" i="16"/>
  <c r="K202" i="16"/>
  <c r="M202" i="16" s="1"/>
  <c r="L202" i="16"/>
  <c r="K203" i="16"/>
  <c r="M203" i="16" s="1"/>
  <c r="L203" i="16"/>
  <c r="K204" i="16"/>
  <c r="M204" i="16" s="1"/>
  <c r="L204" i="16"/>
  <c r="K205" i="16"/>
  <c r="M205" i="16" s="1"/>
  <c r="L205" i="16"/>
  <c r="K206" i="16"/>
  <c r="M206" i="16" s="1"/>
  <c r="L206" i="16"/>
  <c r="K207" i="16"/>
  <c r="M207" i="16" s="1"/>
  <c r="L207" i="16"/>
  <c r="K208" i="16"/>
  <c r="M208" i="16" s="1"/>
  <c r="L208" i="16"/>
  <c r="K209" i="16"/>
  <c r="M209" i="16" s="1"/>
  <c r="L209" i="16"/>
  <c r="K210" i="16"/>
  <c r="M210" i="16" s="1"/>
  <c r="L210" i="16"/>
  <c r="K211" i="16"/>
  <c r="M211" i="16" s="1"/>
  <c r="L211" i="16"/>
  <c r="K212" i="16"/>
  <c r="M212" i="16" s="1"/>
  <c r="L212" i="16"/>
  <c r="K213" i="16"/>
  <c r="M213" i="16" s="1"/>
  <c r="L213" i="16"/>
  <c r="K214" i="16"/>
  <c r="M214" i="16" s="1"/>
  <c r="L214" i="16"/>
  <c r="K215" i="16"/>
  <c r="M215" i="16" s="1"/>
  <c r="L215" i="16"/>
  <c r="K216" i="16"/>
  <c r="M216" i="16" s="1"/>
  <c r="L216" i="16"/>
  <c r="K217" i="16"/>
  <c r="M217" i="16" s="1"/>
  <c r="L217" i="16"/>
  <c r="K218" i="16"/>
  <c r="M218" i="16" s="1"/>
  <c r="L218" i="16"/>
  <c r="K219" i="16"/>
  <c r="M219" i="16" s="1"/>
  <c r="L219" i="16"/>
  <c r="K220" i="16"/>
  <c r="M220" i="16" s="1"/>
  <c r="L220" i="16"/>
  <c r="K221" i="16"/>
  <c r="M221" i="16" s="1"/>
  <c r="L221" i="16"/>
  <c r="K222" i="16"/>
  <c r="M222" i="16" s="1"/>
  <c r="L222" i="16"/>
  <c r="K223" i="16"/>
  <c r="M223" i="16" s="1"/>
  <c r="L223" i="16"/>
  <c r="K224" i="16"/>
  <c r="M224" i="16" s="1"/>
  <c r="L224" i="16"/>
  <c r="K225" i="16"/>
  <c r="M225" i="16" s="1"/>
  <c r="L225" i="16"/>
  <c r="K226" i="16"/>
  <c r="M226" i="16" s="1"/>
  <c r="L226" i="16"/>
  <c r="K227" i="16"/>
  <c r="M227" i="16" s="1"/>
  <c r="L227" i="16"/>
  <c r="K228" i="16"/>
  <c r="M228" i="16" s="1"/>
  <c r="L228" i="16"/>
  <c r="K229" i="16"/>
  <c r="M229" i="16" s="1"/>
  <c r="L229" i="16"/>
  <c r="K230" i="16"/>
  <c r="M230" i="16" s="1"/>
  <c r="L230" i="16"/>
  <c r="K231" i="16"/>
  <c r="M231" i="16" s="1"/>
  <c r="L231" i="16"/>
  <c r="K232" i="16"/>
  <c r="M232" i="16" s="1"/>
  <c r="L232" i="16"/>
  <c r="K233" i="16"/>
  <c r="M233" i="16" s="1"/>
  <c r="L233" i="16"/>
  <c r="K234" i="16"/>
  <c r="M234" i="16" s="1"/>
  <c r="L234" i="16"/>
  <c r="K235" i="16"/>
  <c r="M235" i="16" s="1"/>
  <c r="L235" i="16"/>
  <c r="K236" i="16"/>
  <c r="M236" i="16" s="1"/>
  <c r="L236" i="16"/>
  <c r="K237" i="16"/>
  <c r="M237" i="16" s="1"/>
  <c r="L237" i="16"/>
  <c r="K238" i="16"/>
  <c r="M238" i="16" s="1"/>
  <c r="L238" i="16"/>
  <c r="K239" i="16"/>
  <c r="M239" i="16" s="1"/>
  <c r="L239" i="16"/>
  <c r="K240" i="16"/>
  <c r="M240" i="16" s="1"/>
  <c r="L240" i="16"/>
  <c r="K241" i="16"/>
  <c r="M241" i="16" s="1"/>
  <c r="L241" i="16"/>
  <c r="K242" i="16"/>
  <c r="M242" i="16" s="1"/>
  <c r="L242" i="16"/>
  <c r="K243" i="16"/>
  <c r="M243" i="16" s="1"/>
  <c r="L243" i="16"/>
  <c r="K244" i="16"/>
  <c r="M244" i="16" s="1"/>
  <c r="L244" i="16"/>
  <c r="K245" i="16"/>
  <c r="M245" i="16" s="1"/>
  <c r="L245" i="16"/>
  <c r="K246" i="16"/>
  <c r="M246" i="16" s="1"/>
  <c r="L246" i="16"/>
  <c r="K247" i="16"/>
  <c r="M247" i="16" s="1"/>
  <c r="L247" i="16"/>
  <c r="K248" i="16"/>
  <c r="M248" i="16" s="1"/>
  <c r="L248" i="16"/>
  <c r="K249" i="16"/>
  <c r="M249" i="16" s="1"/>
  <c r="L249" i="16"/>
  <c r="K250" i="16"/>
  <c r="M250" i="16" s="1"/>
  <c r="L250" i="16"/>
  <c r="K108" i="16"/>
  <c r="M108" i="16" s="1"/>
  <c r="L108" i="16"/>
  <c r="K109" i="16"/>
  <c r="M109" i="16" s="1"/>
  <c r="L109" i="16"/>
  <c r="K110" i="16"/>
  <c r="M110" i="16" s="1"/>
  <c r="L110" i="16"/>
  <c r="K111" i="16"/>
  <c r="M111" i="16" s="1"/>
  <c r="L111" i="16"/>
  <c r="K112" i="16"/>
  <c r="M112" i="16" s="1"/>
  <c r="L112" i="16"/>
  <c r="K113" i="16"/>
  <c r="M113" i="16" s="1"/>
  <c r="L113" i="16"/>
  <c r="K114" i="16"/>
  <c r="M114" i="16" s="1"/>
  <c r="L114" i="16"/>
  <c r="K115" i="16"/>
  <c r="M115" i="16" s="1"/>
  <c r="L115" i="16"/>
  <c r="K116" i="16"/>
  <c r="M116" i="16" s="1"/>
  <c r="L116" i="16"/>
  <c r="K117" i="16"/>
  <c r="M117" i="16" s="1"/>
  <c r="L117" i="16"/>
  <c r="K118" i="16"/>
  <c r="M118" i="16" s="1"/>
  <c r="L118" i="16"/>
  <c r="K119" i="16"/>
  <c r="M119" i="16" s="1"/>
  <c r="L119" i="16"/>
  <c r="K120" i="16"/>
  <c r="M120" i="16" s="1"/>
  <c r="L120" i="16"/>
  <c r="K121" i="16"/>
  <c r="M121" i="16" s="1"/>
  <c r="L121" i="16"/>
  <c r="K122" i="16"/>
  <c r="M122" i="16" s="1"/>
  <c r="L122" i="16"/>
  <c r="K123" i="16"/>
  <c r="M123" i="16" s="1"/>
  <c r="L123" i="16"/>
  <c r="K124" i="16"/>
  <c r="M124" i="16" s="1"/>
  <c r="L124" i="16"/>
  <c r="K125" i="16"/>
  <c r="M125" i="16" s="1"/>
  <c r="L125" i="16"/>
  <c r="K126" i="16"/>
  <c r="M126" i="16" s="1"/>
  <c r="L126" i="16"/>
  <c r="K127" i="16"/>
  <c r="M127" i="16" s="1"/>
  <c r="L127" i="16"/>
  <c r="K128" i="16"/>
  <c r="M128" i="16" s="1"/>
  <c r="L128" i="16"/>
  <c r="K129" i="16"/>
  <c r="M129" i="16" s="1"/>
  <c r="L129" i="16"/>
  <c r="K130" i="16"/>
  <c r="M130" i="16" s="1"/>
  <c r="L130" i="16"/>
  <c r="K131" i="16"/>
  <c r="M131" i="16" s="1"/>
  <c r="L131" i="16"/>
  <c r="K132" i="16"/>
  <c r="M132" i="16" s="1"/>
  <c r="L132" i="16"/>
  <c r="K133" i="16"/>
  <c r="M133" i="16" s="1"/>
  <c r="L133" i="16"/>
  <c r="K95" i="16"/>
  <c r="M95" i="16" s="1"/>
  <c r="L95" i="16"/>
  <c r="K96" i="16"/>
  <c r="M96" i="16" s="1"/>
  <c r="L96" i="16"/>
  <c r="K97" i="16"/>
  <c r="M97" i="16" s="1"/>
  <c r="L97" i="16"/>
  <c r="K98" i="16"/>
  <c r="M98" i="16" s="1"/>
  <c r="L98" i="16"/>
  <c r="K99" i="16"/>
  <c r="M99" i="16" s="1"/>
  <c r="L99" i="16"/>
  <c r="K100" i="16"/>
  <c r="M100" i="16" s="1"/>
  <c r="L100" i="16"/>
  <c r="K101" i="16"/>
  <c r="M101" i="16" s="1"/>
  <c r="L101" i="16"/>
  <c r="K102" i="16"/>
  <c r="M102" i="16" s="1"/>
  <c r="L102" i="16"/>
  <c r="K103" i="16"/>
  <c r="M103" i="16" s="1"/>
  <c r="L103" i="16"/>
  <c r="K104" i="16"/>
  <c r="M104" i="16" s="1"/>
  <c r="L104" i="16"/>
  <c r="K105" i="16"/>
  <c r="M105" i="16" s="1"/>
  <c r="L105" i="16"/>
  <c r="K106" i="16"/>
  <c r="M106" i="16" s="1"/>
  <c r="L106" i="16"/>
  <c r="K107" i="16"/>
  <c r="M107" i="16" s="1"/>
  <c r="L107" i="16"/>
  <c r="K69" i="16"/>
  <c r="M69" i="16" s="1"/>
  <c r="L69" i="16"/>
  <c r="K70" i="16"/>
  <c r="M70" i="16" s="1"/>
  <c r="L70" i="16"/>
  <c r="K71" i="16"/>
  <c r="M71" i="16" s="1"/>
  <c r="L71" i="16"/>
  <c r="K72" i="16"/>
  <c r="M72" i="16" s="1"/>
  <c r="L72" i="16"/>
  <c r="K73" i="16"/>
  <c r="M73" i="16" s="1"/>
  <c r="L73" i="16"/>
  <c r="K74" i="16"/>
  <c r="M74" i="16" s="1"/>
  <c r="L74" i="16"/>
  <c r="K75" i="16"/>
  <c r="M75" i="16" s="1"/>
  <c r="L75" i="16"/>
  <c r="K76" i="16"/>
  <c r="M76" i="16" s="1"/>
  <c r="L76" i="16"/>
  <c r="K77" i="16"/>
  <c r="M77" i="16" s="1"/>
  <c r="L77" i="16"/>
  <c r="K78" i="16"/>
  <c r="M78" i="16" s="1"/>
  <c r="L78" i="16"/>
  <c r="K79" i="16"/>
  <c r="M79" i="16" s="1"/>
  <c r="L79" i="16"/>
  <c r="K80" i="16"/>
  <c r="M80" i="16" s="1"/>
  <c r="L80" i="16"/>
  <c r="K81" i="16"/>
  <c r="M81" i="16" s="1"/>
  <c r="L81" i="16"/>
  <c r="K82" i="16"/>
  <c r="M82" i="16" s="1"/>
  <c r="L82" i="16"/>
  <c r="K83" i="16"/>
  <c r="M83" i="16" s="1"/>
  <c r="L83" i="16"/>
  <c r="K84" i="16"/>
  <c r="M84" i="16" s="1"/>
  <c r="L84" i="16"/>
  <c r="K85" i="16"/>
  <c r="M85" i="16" s="1"/>
  <c r="L85" i="16"/>
  <c r="K86" i="16"/>
  <c r="M86" i="16" s="1"/>
  <c r="L86" i="16"/>
  <c r="K87" i="16"/>
  <c r="M87" i="16" s="1"/>
  <c r="L87" i="16"/>
  <c r="K88" i="16"/>
  <c r="M88" i="16" s="1"/>
  <c r="L88" i="16"/>
  <c r="K89" i="16"/>
  <c r="M89" i="16" s="1"/>
  <c r="L89" i="16"/>
  <c r="K90" i="16"/>
  <c r="M90" i="16" s="1"/>
  <c r="L90" i="16"/>
  <c r="K91" i="16"/>
  <c r="M91" i="16" s="1"/>
  <c r="L91" i="16"/>
  <c r="K92" i="16"/>
  <c r="M92" i="16" s="1"/>
  <c r="L92" i="16"/>
  <c r="K93" i="16"/>
  <c r="M93" i="16" s="1"/>
  <c r="L93" i="16"/>
  <c r="K94" i="16"/>
  <c r="M94" i="16" s="1"/>
  <c r="L94" i="16"/>
  <c r="K56" i="16"/>
  <c r="M56" i="16" s="1"/>
  <c r="L56" i="16"/>
  <c r="K57" i="16"/>
  <c r="M57" i="16" s="1"/>
  <c r="L57" i="16"/>
  <c r="K58" i="16"/>
  <c r="M58" i="16" s="1"/>
  <c r="L58" i="16"/>
  <c r="K59" i="16"/>
  <c r="M59" i="16" s="1"/>
  <c r="L59" i="16"/>
  <c r="K60" i="16"/>
  <c r="M60" i="16" s="1"/>
  <c r="L60" i="16"/>
  <c r="K61" i="16"/>
  <c r="M61" i="16" s="1"/>
  <c r="L61" i="16"/>
  <c r="K62" i="16"/>
  <c r="M62" i="16" s="1"/>
  <c r="L62" i="16"/>
  <c r="K63" i="16"/>
  <c r="M63" i="16" s="1"/>
  <c r="L63" i="16"/>
  <c r="K64" i="16"/>
  <c r="M64" i="16" s="1"/>
  <c r="L64" i="16"/>
  <c r="K65" i="16"/>
  <c r="M65" i="16" s="1"/>
  <c r="L65" i="16"/>
  <c r="K66" i="16"/>
  <c r="M66" i="16" s="1"/>
  <c r="L66" i="16"/>
  <c r="K67" i="16"/>
  <c r="M67" i="16" s="1"/>
  <c r="L67" i="16"/>
  <c r="K68" i="16"/>
  <c r="M68" i="16" s="1"/>
  <c r="L68" i="16"/>
  <c r="L55" i="16"/>
  <c r="L54" i="16"/>
  <c r="L53" i="16"/>
  <c r="L52" i="16"/>
  <c r="L51" i="16"/>
  <c r="L50" i="16"/>
  <c r="L49" i="16"/>
  <c r="L48" i="16"/>
  <c r="L47" i="16"/>
  <c r="L46" i="16"/>
  <c r="L45" i="16"/>
  <c r="L44" i="16"/>
  <c r="L43" i="16"/>
  <c r="K43" i="16"/>
  <c r="M43" i="16" s="1"/>
  <c r="K44" i="16"/>
  <c r="M44" i="16" s="1"/>
  <c r="K45" i="16"/>
  <c r="M45" i="16" s="1"/>
  <c r="K46" i="16"/>
  <c r="M46" i="16" s="1"/>
  <c r="K47" i="16"/>
  <c r="M47" i="16" s="1"/>
  <c r="K48" i="16"/>
  <c r="M48" i="16" s="1"/>
  <c r="K49" i="16"/>
  <c r="M49" i="16" s="1"/>
  <c r="K50" i="16"/>
  <c r="M50" i="16" s="1"/>
  <c r="K51" i="16"/>
  <c r="M51" i="16" s="1"/>
  <c r="K52" i="16"/>
  <c r="M52" i="16" s="1"/>
  <c r="K53" i="16"/>
  <c r="M53" i="16" s="1"/>
  <c r="K54" i="16"/>
  <c r="M54" i="16" s="1"/>
  <c r="K55" i="16"/>
  <c r="M55" i="16" s="1"/>
  <c r="K30" i="16"/>
  <c r="M30" i="16" s="1"/>
  <c r="K31" i="16"/>
  <c r="M31" i="16" s="1"/>
  <c r="K32" i="16"/>
  <c r="M32" i="16" s="1"/>
  <c r="K33" i="16"/>
  <c r="M33" i="16" s="1"/>
  <c r="K34" i="16"/>
  <c r="M34" i="16" s="1"/>
  <c r="K35" i="16"/>
  <c r="M35" i="16" s="1"/>
  <c r="K36" i="16"/>
  <c r="M36" i="16" s="1"/>
  <c r="K37" i="16"/>
  <c r="M37" i="16" s="1"/>
  <c r="K38" i="16"/>
  <c r="M38" i="16" s="1"/>
  <c r="K39" i="16"/>
  <c r="M39" i="16" s="1"/>
  <c r="K40" i="16"/>
  <c r="M40" i="16" s="1"/>
  <c r="K41" i="16"/>
  <c r="M41" i="16" s="1"/>
  <c r="K42" i="16"/>
  <c r="M42" i="16" s="1"/>
  <c r="L42" i="16"/>
  <c r="L41" i="16"/>
  <c r="L40" i="16"/>
  <c r="L39" i="16"/>
  <c r="L38" i="16"/>
  <c r="L37" i="16"/>
  <c r="L36" i="16"/>
  <c r="L35" i="16"/>
  <c r="L34" i="16"/>
  <c r="L33" i="16"/>
  <c r="L32" i="16"/>
  <c r="L31" i="16"/>
  <c r="L30" i="16"/>
  <c r="L18" i="16"/>
  <c r="L19" i="16"/>
  <c r="L20" i="16"/>
  <c r="L21" i="16"/>
  <c r="L22" i="16"/>
  <c r="L23" i="16"/>
  <c r="L24" i="16"/>
  <c r="L25" i="16"/>
  <c r="L26" i="16"/>
  <c r="L27" i="16"/>
  <c r="L28" i="16"/>
  <c r="L29" i="16"/>
  <c r="L17" i="16"/>
  <c r="K18" i="16"/>
  <c r="M18" i="16" s="1"/>
  <c r="K19" i="16"/>
  <c r="M19" i="16" s="1"/>
  <c r="K20" i="16"/>
  <c r="M20" i="16" s="1"/>
  <c r="K21" i="16"/>
  <c r="M21" i="16" s="1"/>
  <c r="K22" i="16"/>
  <c r="M22" i="16" s="1"/>
  <c r="K23" i="16"/>
  <c r="M23" i="16" s="1"/>
  <c r="K24" i="16"/>
  <c r="M24" i="16" s="1"/>
  <c r="K25" i="16"/>
  <c r="M25" i="16" s="1"/>
  <c r="K26" i="16"/>
  <c r="M26" i="16" s="1"/>
  <c r="K27" i="16"/>
  <c r="M27" i="16" s="1"/>
  <c r="K28" i="16"/>
  <c r="M28" i="16" s="1"/>
  <c r="K29" i="16"/>
  <c r="M29" i="16" s="1"/>
  <c r="K17" i="16"/>
  <c r="M17" i="16" s="1"/>
  <c r="P10" i="3"/>
  <c r="P11" i="3"/>
  <c r="H28" i="15"/>
  <c r="H11" i="15"/>
  <c r="E28" i="15"/>
  <c r="E20" i="15"/>
  <c r="E21" i="15" s="1"/>
  <c r="E14" i="15"/>
  <c r="E11" i="15"/>
  <c r="E18" i="15" s="1"/>
  <c r="N375" i="16" l="1"/>
  <c r="N299" i="16"/>
  <c r="N295" i="16"/>
  <c r="N291" i="16"/>
  <c r="N283" i="16"/>
  <c r="N692" i="16"/>
  <c r="N697" i="16"/>
  <c r="N693" i="16"/>
  <c r="N689" i="16"/>
  <c r="N661" i="16"/>
  <c r="N657" i="16"/>
  <c r="N641" i="16"/>
  <c r="N347" i="16"/>
  <c r="N327" i="16"/>
  <c r="N698" i="16"/>
  <c r="N677" i="16"/>
  <c r="N694" i="16"/>
  <c r="N690" i="16"/>
  <c r="N700" i="16"/>
  <c r="N654" i="16"/>
  <c r="N686" i="16"/>
  <c r="N685" i="16"/>
  <c r="N684" i="16"/>
  <c r="N648" i="16"/>
  <c r="N682" i="16"/>
  <c r="N650" i="16"/>
  <c r="N646" i="16"/>
  <c r="N681" i="16"/>
  <c r="N662" i="16"/>
  <c r="N656" i="16"/>
  <c r="N649" i="16"/>
  <c r="N645" i="16"/>
  <c r="N678" i="16"/>
  <c r="N670" i="16"/>
  <c r="N669" i="16"/>
  <c r="N666" i="16"/>
  <c r="N665" i="16"/>
  <c r="N664" i="16"/>
  <c r="N658" i="16"/>
  <c r="N653" i="16"/>
  <c r="N642" i="16"/>
  <c r="N674" i="16"/>
  <c r="N673" i="16"/>
  <c r="N672" i="16"/>
  <c r="N676" i="16"/>
  <c r="N699" i="16"/>
  <c r="N696" i="16"/>
  <c r="N691" i="16"/>
  <c r="N688" i="16"/>
  <c r="N683" i="16"/>
  <c r="N680" i="16"/>
  <c r="N675" i="16"/>
  <c r="N667" i="16"/>
  <c r="N659" i="16"/>
  <c r="N651" i="16"/>
  <c r="N643" i="16"/>
  <c r="N695" i="16"/>
  <c r="N687" i="16"/>
  <c r="N679" i="16"/>
  <c r="N671" i="16"/>
  <c r="N668" i="16"/>
  <c r="N663" i="16"/>
  <c r="N660" i="16"/>
  <c r="N655" i="16"/>
  <c r="N652" i="16"/>
  <c r="N647" i="16"/>
  <c r="N644" i="16"/>
  <c r="O470" i="16"/>
  <c r="O454" i="16"/>
  <c r="O438" i="16"/>
  <c r="O422" i="16"/>
  <c r="O406" i="16"/>
  <c r="O390" i="16"/>
  <c r="O578" i="16"/>
  <c r="O566" i="16"/>
  <c r="O550" i="16"/>
  <c r="O518" i="16"/>
  <c r="O502" i="16"/>
  <c r="O486" i="16"/>
  <c r="O631" i="16"/>
  <c r="O627" i="16"/>
  <c r="O620" i="16"/>
  <c r="O611" i="16"/>
  <c r="O588" i="16"/>
  <c r="O638" i="16"/>
  <c r="O634" i="16"/>
  <c r="O630" i="16"/>
  <c r="O626" i="16"/>
  <c r="O622" i="16"/>
  <c r="O618" i="16"/>
  <c r="O614" i="16"/>
  <c r="O610" i="16"/>
  <c r="O606" i="16"/>
  <c r="O601" i="16"/>
  <c r="O597" i="16"/>
  <c r="O593" i="16"/>
  <c r="O589" i="16"/>
  <c r="O366" i="16"/>
  <c r="O362" i="16"/>
  <c r="O358" i="16"/>
  <c r="O354" i="16"/>
  <c r="O350" i="16"/>
  <c r="O346" i="16"/>
  <c r="O342" i="16"/>
  <c r="O338" i="16"/>
  <c r="O334" i="16"/>
  <c r="O330" i="16"/>
  <c r="O326" i="16"/>
  <c r="O322" i="16"/>
  <c r="O318" i="16"/>
  <c r="O314" i="16"/>
  <c r="O310" i="16"/>
  <c r="O306" i="16"/>
  <c r="O302" i="16"/>
  <c r="O298" i="16"/>
  <c r="O294" i="16"/>
  <c r="O290" i="16"/>
  <c r="O286" i="16"/>
  <c r="O282" i="16"/>
  <c r="O278" i="16"/>
  <c r="O274" i="16"/>
  <c r="O270" i="16"/>
  <c r="O266" i="16"/>
  <c r="O246" i="16"/>
  <c r="O238" i="16"/>
  <c r="O230" i="16"/>
  <c r="O222" i="16"/>
  <c r="O214" i="16"/>
  <c r="O206" i="16"/>
  <c r="O198" i="16"/>
  <c r="O81" i="16"/>
  <c r="O594" i="16"/>
  <c r="O636" i="16"/>
  <c r="O247" i="16"/>
  <c r="O243" i="16"/>
  <c r="O239" i="16"/>
  <c r="O235" i="16"/>
  <c r="O231" i="16"/>
  <c r="O227" i="16"/>
  <c r="O223" i="16"/>
  <c r="O219" i="16"/>
  <c r="O215" i="16"/>
  <c r="O211" i="16"/>
  <c r="O207" i="16"/>
  <c r="O203" i="16"/>
  <c r="O199" i="16"/>
  <c r="O195" i="16"/>
  <c r="O191" i="16"/>
  <c r="O187" i="16"/>
  <c r="O183" i="16"/>
  <c r="O179" i="16"/>
  <c r="O175" i="16"/>
  <c r="O171" i="16"/>
  <c r="O167" i="16"/>
  <c r="O163" i="16"/>
  <c r="O159" i="16"/>
  <c r="O155" i="16"/>
  <c r="O151" i="16"/>
  <c r="O147" i="16"/>
  <c r="O131" i="16"/>
  <c r="O127" i="16"/>
  <c r="O123" i="16"/>
  <c r="O119" i="16"/>
  <c r="O115" i="16"/>
  <c r="O111" i="16"/>
  <c r="O107" i="16"/>
  <c r="O103" i="16"/>
  <c r="O99" i="16"/>
  <c r="O95" i="16"/>
  <c r="O91" i="16"/>
  <c r="O87" i="16"/>
  <c r="O83" i="16"/>
  <c r="O79" i="16"/>
  <c r="O75" i="16"/>
  <c r="O71" i="16"/>
  <c r="O67" i="16"/>
  <c r="O63" i="16"/>
  <c r="O59" i="16"/>
  <c r="O55" i="16"/>
  <c r="O51" i="16"/>
  <c r="O47" i="16"/>
  <c r="O43" i="16"/>
  <c r="O484" i="16"/>
  <c r="O480" i="16"/>
  <c r="O476" i="16"/>
  <c r="O472" i="16"/>
  <c r="O468" i="16"/>
  <c r="O464" i="16"/>
  <c r="O460" i="16"/>
  <c r="O456" i="16"/>
  <c r="O452" i="16"/>
  <c r="O448" i="16"/>
  <c r="O444" i="16"/>
  <c r="O440" i="16"/>
  <c r="O436" i="16"/>
  <c r="O432" i="16"/>
  <c r="O428" i="16"/>
  <c r="O424" i="16"/>
  <c r="O420" i="16"/>
  <c r="O416" i="16"/>
  <c r="O412" i="16"/>
  <c r="O408" i="16"/>
  <c r="O404" i="16"/>
  <c r="O400" i="16"/>
  <c r="O396" i="16"/>
  <c r="O392" i="16"/>
  <c r="O388" i="16"/>
  <c r="O384" i="16"/>
  <c r="O580" i="16"/>
  <c r="O576" i="16"/>
  <c r="O572" i="16"/>
  <c r="O568" i="16"/>
  <c r="O564" i="16"/>
  <c r="O560" i="16"/>
  <c r="O556" i="16"/>
  <c r="O552" i="16"/>
  <c r="O548" i="16"/>
  <c r="O544" i="16"/>
  <c r="O540" i="16"/>
  <c r="O536" i="16"/>
  <c r="O532" i="16"/>
  <c r="O528" i="16"/>
  <c r="O524" i="16"/>
  <c r="O520" i="16"/>
  <c r="O516" i="16"/>
  <c r="O512" i="16"/>
  <c r="O508" i="16"/>
  <c r="O504" i="16"/>
  <c r="O500" i="16"/>
  <c r="O496" i="16"/>
  <c r="O492" i="16"/>
  <c r="O488" i="16"/>
  <c r="O600" i="16"/>
  <c r="O604" i="16"/>
  <c r="O637" i="16"/>
  <c r="O633" i="16"/>
  <c r="O629" i="16"/>
  <c r="O625" i="16"/>
  <c r="O621" i="16"/>
  <c r="O617" i="16"/>
  <c r="O613" i="16"/>
  <c r="O609" i="16"/>
  <c r="O605" i="16"/>
  <c r="O603" i="16"/>
  <c r="O599" i="16"/>
  <c r="O595" i="16"/>
  <c r="O591" i="16"/>
  <c r="O587" i="16"/>
  <c r="O583" i="16"/>
  <c r="O190" i="16"/>
  <c r="O534" i="16"/>
  <c r="O584" i="16"/>
  <c r="O615" i="16"/>
  <c r="O177" i="16"/>
  <c r="O161" i="16"/>
  <c r="O129" i="16"/>
  <c r="O113" i="16"/>
  <c r="O97" i="16"/>
  <c r="O65" i="16"/>
  <c r="O49" i="16"/>
  <c r="O33" i="16"/>
  <c r="O482" i="16"/>
  <c r="O478" i="16"/>
  <c r="O474" i="16"/>
  <c r="O466" i="16"/>
  <c r="O462" i="16"/>
  <c r="O458" i="16"/>
  <c r="O450" i="16"/>
  <c r="O446" i="16"/>
  <c r="O442" i="16"/>
  <c r="O434" i="16"/>
  <c r="O430" i="16"/>
  <c r="O426" i="16"/>
  <c r="O418" i="16"/>
  <c r="O414" i="16"/>
  <c r="O410" i="16"/>
  <c r="O402" i="16"/>
  <c r="O398" i="16"/>
  <c r="O394" i="16"/>
  <c r="O386" i="16"/>
  <c r="O382" i="16"/>
  <c r="O574" i="16"/>
  <c r="O570" i="16"/>
  <c r="O562" i="16"/>
  <c r="O558" i="16"/>
  <c r="O554" i="16"/>
  <c r="O546" i="16"/>
  <c r="O542" i="16"/>
  <c r="O538" i="16"/>
  <c r="O530" i="16"/>
  <c r="O526" i="16"/>
  <c r="O522" i="16"/>
  <c r="O514" i="16"/>
  <c r="O510" i="16"/>
  <c r="O506" i="16"/>
  <c r="O498" i="16"/>
  <c r="O494" i="16"/>
  <c r="O490" i="16"/>
  <c r="O639" i="16"/>
  <c r="O635" i="16"/>
  <c r="O623" i="16"/>
  <c r="O619" i="16"/>
  <c r="O607" i="16"/>
  <c r="O602" i="16"/>
  <c r="O598" i="16"/>
  <c r="O596" i="16"/>
  <c r="O592" i="16"/>
  <c r="O586" i="16"/>
  <c r="O582" i="16"/>
  <c r="O579" i="16"/>
  <c r="O575" i="16"/>
  <c r="O571" i="16"/>
  <c r="O567" i="16"/>
  <c r="O563" i="16"/>
  <c r="O559" i="16"/>
  <c r="O555" i="16"/>
  <c r="O551" i="16"/>
  <c r="O547" i="16"/>
  <c r="O543" i="16"/>
  <c r="O539" i="16"/>
  <c r="O535" i="16"/>
  <c r="O531" i="16"/>
  <c r="O527" i="16"/>
  <c r="O523" i="16"/>
  <c r="O519" i="16"/>
  <c r="O515" i="16"/>
  <c r="O511" i="16"/>
  <c r="O507" i="16"/>
  <c r="O503" i="16"/>
  <c r="O499" i="16"/>
  <c r="O495" i="16"/>
  <c r="O491" i="16"/>
  <c r="O487" i="16"/>
  <c r="O640" i="16"/>
  <c r="O632" i="16"/>
  <c r="O628" i="16"/>
  <c r="O624" i="16"/>
  <c r="O616" i="16"/>
  <c r="O612" i="16"/>
  <c r="O608" i="16"/>
  <c r="O250" i="16"/>
  <c r="O242" i="16"/>
  <c r="O234" i="16"/>
  <c r="O226" i="16"/>
  <c r="O218" i="16"/>
  <c r="O210" i="16"/>
  <c r="O202" i="16"/>
  <c r="O194" i="16"/>
  <c r="O186" i="16"/>
  <c r="O182" i="16"/>
  <c r="O178" i="16"/>
  <c r="O174" i="16"/>
  <c r="O170" i="16"/>
  <c r="O166" i="16"/>
  <c r="O162" i="16"/>
  <c r="O158" i="16"/>
  <c r="O154" i="16"/>
  <c r="O150" i="16"/>
  <c r="O130" i="16"/>
  <c r="O126" i="16"/>
  <c r="O122" i="16"/>
  <c r="O118" i="16"/>
  <c r="O114" i="16"/>
  <c r="O110" i="16"/>
  <c r="O106" i="16"/>
  <c r="O102" i="16"/>
  <c r="O98" i="16"/>
  <c r="O94" i="16"/>
  <c r="O90" i="16"/>
  <c r="O86" i="16"/>
  <c r="O82" i="16"/>
  <c r="O78" i="16"/>
  <c r="O74" i="16"/>
  <c r="O70" i="16"/>
  <c r="O66" i="16"/>
  <c r="O62" i="16"/>
  <c r="O58" i="16"/>
  <c r="O54" i="16"/>
  <c r="O50" i="16"/>
  <c r="O46" i="16"/>
  <c r="O42" i="16"/>
  <c r="O38" i="16"/>
  <c r="O34" i="16"/>
  <c r="O30" i="16"/>
  <c r="O483" i="16"/>
  <c r="O479" i="16"/>
  <c r="O475" i="16"/>
  <c r="O471" i="16"/>
  <c r="O467" i="16"/>
  <c r="O463" i="16"/>
  <c r="O459" i="16"/>
  <c r="O455" i="16"/>
  <c r="O451" i="16"/>
  <c r="O447" i="16"/>
  <c r="O443" i="16"/>
  <c r="O439" i="16"/>
  <c r="O435" i="16"/>
  <c r="O431" i="16"/>
  <c r="O427" i="16"/>
  <c r="O423" i="16"/>
  <c r="O419" i="16"/>
  <c r="O415" i="16"/>
  <c r="O411" i="16"/>
  <c r="O407" i="16"/>
  <c r="O403" i="16"/>
  <c r="O399" i="16"/>
  <c r="O395" i="16"/>
  <c r="O391" i="16"/>
  <c r="O387" i="16"/>
  <c r="O383" i="16"/>
  <c r="O577" i="16"/>
  <c r="O573" i="16"/>
  <c r="O569" i="16"/>
  <c r="O565" i="16"/>
  <c r="O561" i="16"/>
  <c r="O557" i="16"/>
  <c r="O553" i="16"/>
  <c r="O549" i="16"/>
  <c r="O545" i="16"/>
  <c r="O541" i="16"/>
  <c r="O537" i="16"/>
  <c r="O533" i="16"/>
  <c r="O529" i="16"/>
  <c r="O525" i="16"/>
  <c r="O521" i="16"/>
  <c r="O517" i="16"/>
  <c r="O513" i="16"/>
  <c r="O509" i="16"/>
  <c r="O505" i="16"/>
  <c r="O501" i="16"/>
  <c r="O497" i="16"/>
  <c r="O493" i="16"/>
  <c r="O489" i="16"/>
  <c r="O485" i="16"/>
  <c r="O367" i="16"/>
  <c r="O359" i="16"/>
  <c r="O355" i="16"/>
  <c r="O347" i="16"/>
  <c r="O339" i="16"/>
  <c r="O331" i="16"/>
  <c r="O323" i="16"/>
  <c r="O319" i="16"/>
  <c r="O311" i="16"/>
  <c r="O303" i="16"/>
  <c r="O295" i="16"/>
  <c r="O291" i="16"/>
  <c r="O283" i="16"/>
  <c r="O275" i="16"/>
  <c r="O271" i="16"/>
  <c r="O39" i="16"/>
  <c r="O35" i="16"/>
  <c r="O585" i="16"/>
  <c r="O581" i="16"/>
  <c r="O365" i="16"/>
  <c r="O361" i="16"/>
  <c r="O357" i="16"/>
  <c r="O353" i="16"/>
  <c r="O349" i="16"/>
  <c r="O345" i="16"/>
  <c r="O341" i="16"/>
  <c r="O337" i="16"/>
  <c r="O333" i="16"/>
  <c r="O329" i="16"/>
  <c r="O325" i="16"/>
  <c r="O321" i="16"/>
  <c r="O317" i="16"/>
  <c r="O313" i="16"/>
  <c r="O309" i="16"/>
  <c r="O305" i="16"/>
  <c r="O301" i="16"/>
  <c r="O297" i="16"/>
  <c r="O293" i="16"/>
  <c r="O289" i="16"/>
  <c r="O285" i="16"/>
  <c r="O281" i="16"/>
  <c r="O277" i="16"/>
  <c r="O273" i="16"/>
  <c r="O269" i="16"/>
  <c r="O265" i="16"/>
  <c r="O249" i="16"/>
  <c r="O245" i="16"/>
  <c r="O241" i="16"/>
  <c r="O237" i="16"/>
  <c r="O233" i="16"/>
  <c r="O229" i="16"/>
  <c r="O225" i="16"/>
  <c r="O221" i="16"/>
  <c r="O217" i="16"/>
  <c r="O213" i="16"/>
  <c r="O209" i="16"/>
  <c r="O205" i="16"/>
  <c r="O201" i="16"/>
  <c r="O197" i="16"/>
  <c r="O193" i="16"/>
  <c r="O189" i="16"/>
  <c r="O185" i="16"/>
  <c r="O181" i="16"/>
  <c r="O173" i="16"/>
  <c r="O169" i="16"/>
  <c r="O165" i="16"/>
  <c r="O157" i="16"/>
  <c r="O153" i="16"/>
  <c r="O149" i="16"/>
  <c r="O133" i="16"/>
  <c r="O125" i="16"/>
  <c r="O121" i="16"/>
  <c r="O117" i="16"/>
  <c r="O109" i="16"/>
  <c r="O105" i="16"/>
  <c r="O101" i="16"/>
  <c r="O93" i="16"/>
  <c r="O89" i="16"/>
  <c r="O85" i="16"/>
  <c r="O77" i="16"/>
  <c r="O73" i="16"/>
  <c r="O69" i="16"/>
  <c r="O61" i="16"/>
  <c r="O57" i="16"/>
  <c r="O53" i="16"/>
  <c r="O45" i="16"/>
  <c r="O41" i="16"/>
  <c r="O37" i="16"/>
  <c r="N587" i="16"/>
  <c r="N583" i="16"/>
  <c r="O363" i="16"/>
  <c r="O351" i="16"/>
  <c r="O343" i="16"/>
  <c r="O335" i="16"/>
  <c r="O327" i="16"/>
  <c r="O315" i="16"/>
  <c r="O307" i="16"/>
  <c r="O299" i="16"/>
  <c r="O287" i="16"/>
  <c r="O279" i="16"/>
  <c r="O267" i="16"/>
  <c r="O31" i="16"/>
  <c r="O364" i="16"/>
  <c r="O360" i="16"/>
  <c r="O356" i="16"/>
  <c r="O352" i="16"/>
  <c r="O348" i="16"/>
  <c r="O344" i="16"/>
  <c r="O340" i="16"/>
  <c r="O336" i="16"/>
  <c r="O332" i="16"/>
  <c r="O328" i="16"/>
  <c r="O324" i="16"/>
  <c r="O320" i="16"/>
  <c r="O316" i="16"/>
  <c r="O312" i="16"/>
  <c r="O308" i="16"/>
  <c r="O304" i="16"/>
  <c r="O300" i="16"/>
  <c r="O296" i="16"/>
  <c r="O292" i="16"/>
  <c r="O288" i="16"/>
  <c r="O284" i="16"/>
  <c r="O280" i="16"/>
  <c r="O276" i="16"/>
  <c r="O272" i="16"/>
  <c r="O268" i="16"/>
  <c r="O264" i="16"/>
  <c r="O248" i="16"/>
  <c r="O244" i="16"/>
  <c r="O240" i="16"/>
  <c r="O236" i="16"/>
  <c r="O232" i="16"/>
  <c r="O228" i="16"/>
  <c r="O224" i="16"/>
  <c r="O220" i="16"/>
  <c r="O216" i="16"/>
  <c r="O212" i="16"/>
  <c r="O208" i="16"/>
  <c r="O204" i="16"/>
  <c r="O200" i="16"/>
  <c r="O196" i="16"/>
  <c r="O192" i="16"/>
  <c r="O188" i="16"/>
  <c r="O184" i="16"/>
  <c r="O180" i="16"/>
  <c r="O176" i="16"/>
  <c r="O172" i="16"/>
  <c r="O168" i="16"/>
  <c r="O164" i="16"/>
  <c r="O160" i="16"/>
  <c r="O156" i="16"/>
  <c r="O152" i="16"/>
  <c r="O148" i="16"/>
  <c r="O132" i="16"/>
  <c r="O128" i="16"/>
  <c r="O124" i="16"/>
  <c r="O120" i="16"/>
  <c r="O116" i="16"/>
  <c r="O112" i="16"/>
  <c r="O108" i="16"/>
  <c r="O104" i="16"/>
  <c r="O100" i="16"/>
  <c r="O96" i="16"/>
  <c r="O92" i="16"/>
  <c r="O88" i="16"/>
  <c r="O84" i="16"/>
  <c r="O80" i="16"/>
  <c r="O76" i="16"/>
  <c r="O72" i="16"/>
  <c r="O68" i="16"/>
  <c r="O64" i="16"/>
  <c r="O60" i="16"/>
  <c r="O56" i="16"/>
  <c r="O52" i="16"/>
  <c r="O48" i="16"/>
  <c r="O44" i="16"/>
  <c r="O40" i="16"/>
  <c r="O36" i="16"/>
  <c r="O32" i="16"/>
  <c r="O481" i="16"/>
  <c r="O477" i="16"/>
  <c r="O473" i="16"/>
  <c r="O469" i="16"/>
  <c r="O465" i="16"/>
  <c r="O461" i="16"/>
  <c r="O457" i="16"/>
  <c r="O453" i="16"/>
  <c r="O449" i="16"/>
  <c r="O445" i="16"/>
  <c r="O441" i="16"/>
  <c r="O437" i="16"/>
  <c r="O433" i="16"/>
  <c r="O429" i="16"/>
  <c r="O425" i="16"/>
  <c r="O421" i="16"/>
  <c r="O417" i="16"/>
  <c r="O413" i="16"/>
  <c r="O409" i="16"/>
  <c r="O405" i="16"/>
  <c r="O401" i="16"/>
  <c r="O397" i="16"/>
  <c r="O393" i="16"/>
  <c r="O389" i="16"/>
  <c r="O385" i="16"/>
  <c r="O381" i="16"/>
  <c r="N591" i="16"/>
  <c r="N595" i="16"/>
  <c r="N599" i="16"/>
  <c r="N603" i="16"/>
  <c r="N629" i="16"/>
  <c r="N625" i="16"/>
  <c r="N621" i="16"/>
  <c r="N613" i="16"/>
  <c r="N589" i="16"/>
  <c r="N593" i="16"/>
  <c r="N597" i="16"/>
  <c r="N601" i="16"/>
  <c r="N631" i="16"/>
  <c r="N607" i="16"/>
  <c r="N634" i="16"/>
  <c r="N596" i="16"/>
  <c r="N600" i="16"/>
  <c r="N584" i="16"/>
  <c r="N590" i="16"/>
  <c r="N594" i="16"/>
  <c r="N598" i="16"/>
  <c r="N602" i="16"/>
  <c r="N586" i="16"/>
  <c r="N582" i="16"/>
  <c r="N624" i="16"/>
  <c r="N605" i="16"/>
  <c r="N622" i="16"/>
  <c r="N616" i="16"/>
  <c r="N635" i="16"/>
  <c r="N632" i="16"/>
  <c r="N630" i="16"/>
  <c r="N617" i="16"/>
  <c r="N612" i="16"/>
  <c r="N609" i="16"/>
  <c r="N639" i="16"/>
  <c r="N636" i="16"/>
  <c r="N633" i="16"/>
  <c r="N619" i="16"/>
  <c r="N610" i="16"/>
  <c r="N604" i="16"/>
  <c r="N592" i="16"/>
  <c r="N637" i="16"/>
  <c r="N628" i="16"/>
  <c r="N640" i="16"/>
  <c r="N626" i="16"/>
  <c r="N623" i="16"/>
  <c r="N620" i="16"/>
  <c r="N614" i="16"/>
  <c r="N611" i="16"/>
  <c r="N608" i="16"/>
  <c r="N588" i="16"/>
  <c r="N638" i="16"/>
  <c r="N627" i="16"/>
  <c r="N618" i="16"/>
  <c r="N615" i="16"/>
  <c r="N606" i="16"/>
  <c r="N246" i="16"/>
  <c r="N234" i="16"/>
  <c r="N226" i="16"/>
  <c r="N210" i="16"/>
  <c r="N194" i="16"/>
  <c r="N182" i="16"/>
  <c r="N166" i="16"/>
  <c r="N154" i="16"/>
  <c r="N150" i="16"/>
  <c r="N142" i="16"/>
  <c r="N250" i="16"/>
  <c r="N242" i="16"/>
  <c r="N238" i="16"/>
  <c r="N230" i="16"/>
  <c r="N222" i="16"/>
  <c r="N218" i="16"/>
  <c r="N214" i="16"/>
  <c r="N206" i="16"/>
  <c r="N202" i="16"/>
  <c r="N198" i="16"/>
  <c r="N190" i="16"/>
  <c r="N186" i="16"/>
  <c r="N178" i="16"/>
  <c r="N174" i="16"/>
  <c r="N170" i="16"/>
  <c r="N162" i="16"/>
  <c r="N158" i="16"/>
  <c r="N146" i="16"/>
  <c r="N17" i="16"/>
  <c r="N531" i="16"/>
  <c r="N487" i="16"/>
  <c r="N577" i="16"/>
  <c r="H14" i="15"/>
  <c r="N569" i="16"/>
  <c r="N93" i="16"/>
  <c r="N89" i="16"/>
  <c r="N85" i="16"/>
  <c r="N81" i="16"/>
  <c r="N77" i="16"/>
  <c r="N73" i="16"/>
  <c r="N69" i="16"/>
  <c r="N133" i="16"/>
  <c r="N129" i="16"/>
  <c r="N125" i="16"/>
  <c r="N121" i="16"/>
  <c r="N117" i="16"/>
  <c r="N113" i="16"/>
  <c r="N109" i="16"/>
  <c r="N251" i="16"/>
  <c r="N67" i="16"/>
  <c r="N63" i="16"/>
  <c r="N59" i="16"/>
  <c r="N107" i="16"/>
  <c r="N103" i="16"/>
  <c r="N99" i="16"/>
  <c r="N95" i="16"/>
  <c r="N138" i="16"/>
  <c r="N134" i="16"/>
  <c r="N520" i="16"/>
  <c r="N35" i="16"/>
  <c r="N19" i="16"/>
  <c r="N91" i="16"/>
  <c r="N87" i="16"/>
  <c r="N83" i="16"/>
  <c r="N79" i="16"/>
  <c r="N75" i="16"/>
  <c r="N71" i="16"/>
  <c r="N131" i="16"/>
  <c r="N127" i="16"/>
  <c r="N123" i="16"/>
  <c r="N119" i="16"/>
  <c r="N115" i="16"/>
  <c r="N111" i="16"/>
  <c r="N545" i="16"/>
  <c r="N537" i="16"/>
  <c r="N497" i="16"/>
  <c r="N27" i="16"/>
  <c r="N23" i="16"/>
  <c r="N51" i="16"/>
  <c r="N243" i="16"/>
  <c r="N227" i="16"/>
  <c r="N522" i="16"/>
  <c r="N195" i="16"/>
  <c r="N179" i="16"/>
  <c r="N163" i="16"/>
  <c r="N580" i="16"/>
  <c r="N576" i="16"/>
  <c r="N558" i="16"/>
  <c r="N550" i="16"/>
  <c r="N542" i="16"/>
  <c r="N492" i="16"/>
  <c r="N519" i="16"/>
  <c r="N514" i="16"/>
  <c r="N561" i="16"/>
  <c r="N516" i="16"/>
  <c r="N578" i="16"/>
  <c r="N574" i="16"/>
  <c r="N566" i="16"/>
  <c r="N521" i="16"/>
  <c r="N517" i="16"/>
  <c r="N504" i="16"/>
  <c r="N500" i="16"/>
  <c r="N490" i="16"/>
  <c r="N528" i="16"/>
  <c r="N512" i="16"/>
  <c r="N502" i="16"/>
  <c r="N488" i="16"/>
  <c r="N553" i="16"/>
  <c r="N529" i="16"/>
  <c r="N524" i="16"/>
  <c r="N499" i="16"/>
  <c r="N485" i="16"/>
  <c r="N573" i="16"/>
  <c r="N567" i="16"/>
  <c r="N557" i="16"/>
  <c r="N551" i="16"/>
  <c r="N541" i="16"/>
  <c r="N536" i="16"/>
  <c r="N533" i="16"/>
  <c r="N532" i="16"/>
  <c r="N530" i="16"/>
  <c r="N525" i="16"/>
  <c r="N518" i="16"/>
  <c r="N513" i="16"/>
  <c r="N508" i="16"/>
  <c r="N505" i="16"/>
  <c r="N501" i="16"/>
  <c r="N493" i="16"/>
  <c r="N489" i="16"/>
  <c r="N565" i="16"/>
  <c r="N559" i="16"/>
  <c r="N549" i="16"/>
  <c r="N534" i="16"/>
  <c r="N527" i="16"/>
  <c r="N515" i="16"/>
  <c r="N511" i="16"/>
  <c r="N506" i="16"/>
  <c r="N503" i="16"/>
  <c r="N498" i="16"/>
  <c r="N486" i="16"/>
  <c r="N579" i="16"/>
  <c r="N570" i="16"/>
  <c r="N562" i="16"/>
  <c r="N554" i="16"/>
  <c r="N546" i="16"/>
  <c r="N538" i="16"/>
  <c r="N535" i="16"/>
  <c r="N494" i="16"/>
  <c r="N491" i="16"/>
  <c r="N571" i="16"/>
  <c r="N568" i="16"/>
  <c r="N563" i="16"/>
  <c r="N560" i="16"/>
  <c r="N555" i="16"/>
  <c r="N552" i="16"/>
  <c r="N547" i="16"/>
  <c r="N544" i="16"/>
  <c r="N539" i="16"/>
  <c r="N526" i="16"/>
  <c r="N523" i="16"/>
  <c r="N510" i="16"/>
  <c r="N507" i="16"/>
  <c r="N495" i="16"/>
  <c r="N575" i="16"/>
  <c r="N572" i="16"/>
  <c r="N564" i="16"/>
  <c r="N556" i="16"/>
  <c r="N548" i="16"/>
  <c r="N543" i="16"/>
  <c r="N540" i="16"/>
  <c r="N509" i="16"/>
  <c r="N496" i="16"/>
  <c r="H18" i="15"/>
  <c r="H19" i="15" s="1"/>
  <c r="H29" i="15" s="1"/>
  <c r="H27" i="15" s="1"/>
  <c r="N463" i="16"/>
  <c r="N459" i="16"/>
  <c r="N26" i="16"/>
  <c r="N18" i="16"/>
  <c r="N368" i="16"/>
  <c r="N22" i="16"/>
  <c r="N29" i="16"/>
  <c r="N25" i="16"/>
  <c r="N21" i="16"/>
  <c r="N54" i="16"/>
  <c r="N50" i="16"/>
  <c r="N46" i="16"/>
  <c r="N94" i="16"/>
  <c r="N90" i="16"/>
  <c r="N86" i="16"/>
  <c r="N82" i="16"/>
  <c r="N65" i="16"/>
  <c r="N61" i="16"/>
  <c r="N105" i="16"/>
  <c r="N101" i="16"/>
  <c r="N97" i="16"/>
  <c r="N253" i="16"/>
  <c r="N365" i="16"/>
  <c r="N361" i="16"/>
  <c r="N357" i="16"/>
  <c r="N353" i="16"/>
  <c r="N349" i="16"/>
  <c r="N345" i="16"/>
  <c r="N341" i="16"/>
  <c r="N337" i="16"/>
  <c r="N333" i="16"/>
  <c r="N329" i="16"/>
  <c r="N325" i="16"/>
  <c r="N321" i="16"/>
  <c r="N317" i="16"/>
  <c r="N313" i="16"/>
  <c r="N309" i="16"/>
  <c r="N305" i="16"/>
  <c r="N301" i="16"/>
  <c r="N297" i="16"/>
  <c r="N293" i="16"/>
  <c r="N289" i="16"/>
  <c r="N285" i="16"/>
  <c r="N281" i="16"/>
  <c r="N277" i="16"/>
  <c r="N273" i="16"/>
  <c r="N269" i="16"/>
  <c r="N265" i="16"/>
  <c r="N261" i="16"/>
  <c r="N257" i="16"/>
  <c r="N57" i="16"/>
  <c r="N53" i="16"/>
  <c r="N49" i="16"/>
  <c r="N45" i="16"/>
  <c r="N41" i="16"/>
  <c r="N37" i="16"/>
  <c r="N33" i="16"/>
  <c r="N249" i="16"/>
  <c r="N245" i="16"/>
  <c r="N241" i="16"/>
  <c r="N237" i="16"/>
  <c r="N233" i="16"/>
  <c r="N229" i="16"/>
  <c r="N225" i="16"/>
  <c r="N221" i="16"/>
  <c r="N217" i="16"/>
  <c r="N213" i="16"/>
  <c r="N209" i="16"/>
  <c r="N205" i="16"/>
  <c r="N201" i="16"/>
  <c r="N197" i="16"/>
  <c r="N193" i="16"/>
  <c r="N189" i="16"/>
  <c r="N185" i="16"/>
  <c r="N181" i="16"/>
  <c r="N177" i="16"/>
  <c r="N173" i="16"/>
  <c r="N169" i="16"/>
  <c r="N165" i="16"/>
  <c r="N161" i="16"/>
  <c r="N157" i="16"/>
  <c r="N153" i="16"/>
  <c r="N149" i="16"/>
  <c r="N145" i="16"/>
  <c r="N141" i="16"/>
  <c r="N137" i="16"/>
  <c r="N28" i="16"/>
  <c r="N24" i="16"/>
  <c r="N20" i="16"/>
  <c r="N232" i="16"/>
  <c r="N168" i="16"/>
  <c r="N40" i="16"/>
  <c r="N36" i="16"/>
  <c r="N32" i="16"/>
  <c r="N92" i="16"/>
  <c r="N88" i="16"/>
  <c r="N84" i="16"/>
  <c r="N248" i="16"/>
  <c r="N244" i="16"/>
  <c r="N240" i="16"/>
  <c r="N236" i="16"/>
  <c r="N228" i="16"/>
  <c r="N224" i="16"/>
  <c r="N220" i="16"/>
  <c r="N216" i="16"/>
  <c r="N212" i="16"/>
  <c r="N208" i="16"/>
  <c r="N204" i="16"/>
  <c r="N200" i="16"/>
  <c r="N196" i="16"/>
  <c r="N192" i="16"/>
  <c r="N188" i="16"/>
  <c r="N184" i="16"/>
  <c r="N180" i="16"/>
  <c r="N176" i="16"/>
  <c r="N172" i="16"/>
  <c r="N164" i="16"/>
  <c r="N160" i="16"/>
  <c r="N156" i="16"/>
  <c r="N152" i="16"/>
  <c r="N148" i="16"/>
  <c r="N144" i="16"/>
  <c r="N140" i="16"/>
  <c r="N136" i="16"/>
  <c r="N481" i="16"/>
  <c r="N477" i="16"/>
  <c r="N473" i="16"/>
  <c r="N469" i="16"/>
  <c r="N465" i="16"/>
  <c r="N461" i="16"/>
  <c r="N457" i="16"/>
  <c r="N453" i="16"/>
  <c r="N449" i="16"/>
  <c r="N445" i="16"/>
  <c r="N441" i="16"/>
  <c r="N437" i="16"/>
  <c r="N433" i="16"/>
  <c r="N429" i="16"/>
  <c r="N425" i="16"/>
  <c r="N421" i="16"/>
  <c r="N417" i="16"/>
  <c r="N413" i="16"/>
  <c r="N409" i="16"/>
  <c r="N405" i="16"/>
  <c r="N401" i="16"/>
  <c r="N397" i="16"/>
  <c r="N393" i="16"/>
  <c r="N389" i="16"/>
  <c r="N385" i="16"/>
  <c r="N381" i="16"/>
  <c r="N377" i="16"/>
  <c r="N373" i="16"/>
  <c r="N369" i="16"/>
  <c r="N42" i="16"/>
  <c r="N38" i="16"/>
  <c r="N34" i="16"/>
  <c r="N30" i="16"/>
  <c r="N52" i="16"/>
  <c r="N48" i="16"/>
  <c r="N44" i="16"/>
  <c r="N68" i="16"/>
  <c r="N66" i="16"/>
  <c r="N64" i="16"/>
  <c r="N62" i="16"/>
  <c r="N60" i="16"/>
  <c r="N58" i="16"/>
  <c r="N56" i="16"/>
  <c r="N106" i="16"/>
  <c r="N104" i="16"/>
  <c r="N102" i="16"/>
  <c r="N100" i="16"/>
  <c r="N98" i="16"/>
  <c r="N96" i="16"/>
  <c r="N252" i="16"/>
  <c r="N366" i="16"/>
  <c r="N364" i="16"/>
  <c r="N362" i="16"/>
  <c r="N360" i="16"/>
  <c r="N358" i="16"/>
  <c r="N356" i="16"/>
  <c r="N354" i="16"/>
  <c r="N352" i="16"/>
  <c r="N350" i="16"/>
  <c r="N348" i="16"/>
  <c r="N346" i="16"/>
  <c r="N344" i="16"/>
  <c r="N342" i="16"/>
  <c r="N340" i="16"/>
  <c r="N338" i="16"/>
  <c r="N336" i="16"/>
  <c r="N334" i="16"/>
  <c r="N332" i="16"/>
  <c r="N330" i="16"/>
  <c r="N328" i="16"/>
  <c r="N326" i="16"/>
  <c r="N324" i="16"/>
  <c r="N322" i="16"/>
  <c r="N320" i="16"/>
  <c r="N318" i="16"/>
  <c r="N316" i="16"/>
  <c r="N314" i="16"/>
  <c r="N312" i="16"/>
  <c r="N310" i="16"/>
  <c r="N308" i="16"/>
  <c r="N306" i="16"/>
  <c r="N304" i="16"/>
  <c r="N302" i="16"/>
  <c r="N300" i="16"/>
  <c r="N298" i="16"/>
  <c r="N296" i="16"/>
  <c r="N294" i="16"/>
  <c r="N292" i="16"/>
  <c r="N290" i="16"/>
  <c r="N288" i="16"/>
  <c r="N286" i="16"/>
  <c r="N284" i="16"/>
  <c r="N282" i="16"/>
  <c r="N280" i="16"/>
  <c r="N278" i="16"/>
  <c r="N276" i="16"/>
  <c r="N274" i="16"/>
  <c r="N272" i="16"/>
  <c r="N270" i="16"/>
  <c r="N268" i="16"/>
  <c r="N266" i="16"/>
  <c r="N264" i="16"/>
  <c r="N262" i="16"/>
  <c r="N260" i="16"/>
  <c r="N258" i="16"/>
  <c r="N256" i="16"/>
  <c r="N254" i="16"/>
  <c r="N446" i="16"/>
  <c r="N80" i="16"/>
  <c r="N78" i="16"/>
  <c r="N76" i="16"/>
  <c r="N74" i="16"/>
  <c r="N72" i="16"/>
  <c r="N70" i="16"/>
  <c r="N132" i="16"/>
  <c r="N130" i="16"/>
  <c r="N128" i="16"/>
  <c r="N126" i="16"/>
  <c r="N124" i="16"/>
  <c r="N122" i="16"/>
  <c r="N120" i="16"/>
  <c r="N118" i="16"/>
  <c r="N116" i="16"/>
  <c r="N114" i="16"/>
  <c r="N112" i="16"/>
  <c r="N110" i="16"/>
  <c r="N108" i="16"/>
  <c r="N211" i="16"/>
  <c r="N147" i="16"/>
  <c r="N247" i="16"/>
  <c r="N239" i="16"/>
  <c r="N231" i="16"/>
  <c r="N223" i="16"/>
  <c r="N215" i="16"/>
  <c r="N207" i="16"/>
  <c r="N199" i="16"/>
  <c r="N191" i="16"/>
  <c r="N183" i="16"/>
  <c r="N175" i="16"/>
  <c r="N167" i="16"/>
  <c r="N159" i="16"/>
  <c r="N151" i="16"/>
  <c r="N143" i="16"/>
  <c r="N135" i="16"/>
  <c r="N55" i="16"/>
  <c r="N47" i="16"/>
  <c r="N39" i="16"/>
  <c r="N31" i="16"/>
  <c r="N235" i="16"/>
  <c r="N219" i="16"/>
  <c r="N203" i="16"/>
  <c r="N187" i="16"/>
  <c r="N171" i="16"/>
  <c r="N155" i="16"/>
  <c r="N139" i="16"/>
  <c r="N43" i="16"/>
  <c r="N484" i="16"/>
  <c r="N482" i="16"/>
  <c r="N480" i="16"/>
  <c r="N478" i="16"/>
  <c r="N476" i="16"/>
  <c r="N474" i="16"/>
  <c r="N472" i="16"/>
  <c r="N470" i="16"/>
  <c r="N468" i="16"/>
  <c r="N466" i="16"/>
  <c r="N464" i="16"/>
  <c r="N462" i="16"/>
  <c r="N460" i="16"/>
  <c r="N458" i="16"/>
  <c r="N456" i="16"/>
  <c r="N454" i="16"/>
  <c r="N452" i="16"/>
  <c r="N450" i="16"/>
  <c r="N448" i="16"/>
  <c r="N444" i="16"/>
  <c r="N442" i="16"/>
  <c r="N440" i="16"/>
  <c r="N438" i="16"/>
  <c r="N436" i="16"/>
  <c r="N434" i="16"/>
  <c r="N432" i="16"/>
  <c r="N430" i="16"/>
  <c r="N428" i="16"/>
  <c r="N426" i="16"/>
  <c r="N424" i="16"/>
  <c r="N422" i="16"/>
  <c r="N420" i="16"/>
  <c r="N418" i="16"/>
  <c r="N416" i="16"/>
  <c r="N414" i="16"/>
  <c r="N412" i="16"/>
  <c r="N410" i="16"/>
  <c r="N408" i="16"/>
  <c r="N406" i="16"/>
  <c r="N404" i="16"/>
  <c r="N402" i="16"/>
  <c r="N400" i="16"/>
  <c r="N398" i="16"/>
  <c r="N396" i="16"/>
  <c r="N394" i="16"/>
  <c r="N392" i="16"/>
  <c r="N390" i="16"/>
  <c r="N388" i="16"/>
  <c r="N386" i="16"/>
  <c r="N384" i="16"/>
  <c r="N382" i="16"/>
  <c r="N380" i="16"/>
  <c r="N378" i="16"/>
  <c r="N376" i="16"/>
  <c r="N374" i="16"/>
  <c r="N372" i="16"/>
  <c r="N370" i="16"/>
  <c r="E24" i="15"/>
  <c r="E25" i="15" s="1"/>
  <c r="E22" i="15"/>
  <c r="E23" i="15" s="1"/>
  <c r="E19" i="15"/>
  <c r="E29" i="15" s="1"/>
  <c r="E27" i="15" s="1"/>
  <c r="P12" i="3"/>
  <c r="H38" i="3"/>
  <c r="F38" i="3" s="1"/>
  <c r="D38" i="3" s="1"/>
  <c r="O5" i="3"/>
  <c r="O6" i="3"/>
  <c r="O12" i="3"/>
  <c r="O11" i="3"/>
  <c r="O38" i="3"/>
  <c r="S20" i="12"/>
  <c r="S21" i="12"/>
  <c r="S22" i="12"/>
  <c r="S23" i="12"/>
  <c r="S24" i="12"/>
  <c r="S25" i="12"/>
  <c r="S26" i="12"/>
  <c r="S27" i="12"/>
  <c r="S28" i="12"/>
  <c r="S29" i="12"/>
  <c r="S30" i="12"/>
  <c r="S31" i="12"/>
  <c r="S32" i="12"/>
  <c r="S33" i="12"/>
  <c r="S34" i="12"/>
  <c r="S35" i="12"/>
  <c r="S36" i="12"/>
  <c r="S37" i="12"/>
  <c r="S38" i="12"/>
  <c r="S39" i="12"/>
  <c r="S40" i="12"/>
  <c r="S41" i="12"/>
  <c r="S42" i="12"/>
  <c r="S43" i="12"/>
  <c r="S44" i="12"/>
  <c r="S45" i="12"/>
  <c r="S46" i="12"/>
  <c r="S47" i="12"/>
  <c r="S48" i="12"/>
  <c r="S49" i="12"/>
  <c r="S50" i="12"/>
  <c r="S51" i="12"/>
  <c r="S52" i="12"/>
  <c r="S53" i="12"/>
  <c r="S54" i="12"/>
  <c r="S55" i="12"/>
  <c r="S56" i="12"/>
  <c r="S57" i="12"/>
  <c r="S58" i="12"/>
  <c r="S59" i="12"/>
  <c r="S60" i="12"/>
  <c r="S61" i="12"/>
  <c r="S62" i="12"/>
  <c r="S63" i="12"/>
  <c r="S64" i="12"/>
  <c r="S65" i="12"/>
  <c r="S66" i="12"/>
  <c r="S67" i="12"/>
  <c r="S68" i="12"/>
  <c r="S69" i="12"/>
  <c r="S70" i="12"/>
  <c r="S71" i="12"/>
  <c r="S72" i="12"/>
  <c r="S73" i="12"/>
  <c r="S74" i="12"/>
  <c r="S75" i="12"/>
  <c r="S76" i="12"/>
  <c r="S77" i="12"/>
  <c r="S78" i="12"/>
  <c r="S79" i="12"/>
  <c r="S80" i="12"/>
  <c r="S81" i="12"/>
  <c r="S82" i="12"/>
  <c r="S83" i="12"/>
  <c r="S84" i="12"/>
  <c r="S85" i="12"/>
  <c r="S86" i="12"/>
  <c r="S87" i="12"/>
  <c r="S88" i="12"/>
  <c r="S89" i="12"/>
  <c r="S90" i="12"/>
  <c r="S91" i="12"/>
  <c r="S92" i="12"/>
  <c r="S93" i="12"/>
  <c r="S94" i="12"/>
  <c r="S95" i="12"/>
  <c r="S96" i="12"/>
  <c r="S97" i="12"/>
  <c r="S98" i="12"/>
  <c r="S99" i="12"/>
  <c r="S100" i="12"/>
  <c r="S101" i="12"/>
  <c r="S102" i="12"/>
  <c r="S103" i="12"/>
  <c r="S104" i="12"/>
  <c r="S105" i="12"/>
  <c r="S106" i="12"/>
  <c r="S107" i="12"/>
  <c r="S108" i="12"/>
  <c r="S109" i="12"/>
  <c r="S110" i="12"/>
  <c r="S111" i="12"/>
  <c r="S112" i="12"/>
  <c r="S113" i="12"/>
  <c r="S114" i="12"/>
  <c r="S115" i="12"/>
  <c r="S116" i="12"/>
  <c r="S117" i="12"/>
  <c r="S118" i="12"/>
  <c r="S119" i="12"/>
  <c r="S120" i="12"/>
  <c r="S121" i="12"/>
  <c r="S122" i="12"/>
  <c r="S123" i="12"/>
  <c r="S124" i="12"/>
  <c r="S125" i="12"/>
  <c r="S126" i="12"/>
  <c r="S127" i="12"/>
  <c r="S128" i="12"/>
  <c r="S129" i="12"/>
  <c r="S130" i="12"/>
  <c r="S131" i="12"/>
  <c r="S132" i="12"/>
  <c r="S133" i="12"/>
  <c r="S134" i="12"/>
  <c r="S135" i="12"/>
  <c r="S136" i="12"/>
  <c r="S137" i="12"/>
  <c r="S138" i="12"/>
  <c r="S139" i="12"/>
  <c r="S140" i="12"/>
  <c r="S141" i="12"/>
  <c r="S142" i="12"/>
  <c r="S143" i="12"/>
  <c r="S144" i="12"/>
  <c r="S145" i="12"/>
  <c r="S146" i="12"/>
  <c r="S147" i="12"/>
  <c r="S148" i="12"/>
  <c r="S149" i="12"/>
  <c r="S150" i="12"/>
  <c r="S151" i="12"/>
  <c r="S152" i="12"/>
  <c r="S153" i="12"/>
  <c r="S154" i="12"/>
  <c r="S155" i="12"/>
  <c r="S156" i="12"/>
  <c r="S157" i="12"/>
  <c r="S158" i="12"/>
  <c r="S159" i="12"/>
  <c r="S160" i="12"/>
  <c r="S161" i="12"/>
  <c r="S162" i="12"/>
  <c r="S163" i="12"/>
  <c r="S164" i="12"/>
  <c r="S165" i="12"/>
  <c r="S166" i="12"/>
  <c r="S167" i="12"/>
  <c r="S168" i="12"/>
  <c r="S169" i="12"/>
  <c r="S170" i="12"/>
  <c r="S171" i="12"/>
  <c r="S172" i="12"/>
  <c r="S173" i="12"/>
  <c r="S174" i="12"/>
  <c r="S175" i="12"/>
  <c r="S176" i="12"/>
  <c r="S177" i="12"/>
  <c r="S178" i="12"/>
  <c r="S179" i="12"/>
  <c r="S180" i="12"/>
  <c r="S181" i="12"/>
  <c r="S182" i="12"/>
  <c r="S183" i="12"/>
  <c r="S184" i="12"/>
  <c r="S185" i="12"/>
  <c r="S186" i="12"/>
  <c r="S187" i="12"/>
  <c r="S188" i="12"/>
  <c r="S189" i="12"/>
  <c r="S190" i="12"/>
  <c r="S191" i="12"/>
  <c r="S192" i="12"/>
  <c r="S193" i="12"/>
  <c r="S194" i="12"/>
  <c r="S195" i="12"/>
  <c r="S196" i="12"/>
  <c r="S197" i="12"/>
  <c r="S198" i="12"/>
  <c r="S199" i="12"/>
  <c r="S200" i="12"/>
  <c r="S201" i="12"/>
  <c r="S202" i="12"/>
  <c r="S203" i="12"/>
  <c r="S204" i="12"/>
  <c r="S205" i="12"/>
  <c r="S206" i="12"/>
  <c r="S207" i="12"/>
  <c r="S208" i="12"/>
  <c r="S209" i="12"/>
  <c r="S210" i="12"/>
  <c r="S211" i="12"/>
  <c r="S212" i="12"/>
  <c r="S213" i="12"/>
  <c r="S214" i="12"/>
  <c r="S215" i="12"/>
  <c r="S216" i="12"/>
  <c r="S217" i="12"/>
  <c r="S218" i="12"/>
  <c r="S219" i="12"/>
  <c r="S220" i="12"/>
  <c r="S221" i="12"/>
  <c r="S222" i="12"/>
  <c r="S223" i="12"/>
  <c r="S224" i="12"/>
  <c r="S225" i="12"/>
  <c r="S226" i="12"/>
  <c r="S227" i="12"/>
  <c r="S228" i="12"/>
  <c r="S229" i="12"/>
  <c r="S230" i="12"/>
  <c r="S231" i="12"/>
  <c r="S232" i="12"/>
  <c r="S233" i="12"/>
  <c r="S234" i="12"/>
  <c r="S235" i="12"/>
  <c r="S236" i="12"/>
  <c r="S237" i="12"/>
  <c r="S238" i="12"/>
  <c r="S239" i="12"/>
  <c r="S240" i="12"/>
  <c r="S241" i="12"/>
  <c r="S242" i="12"/>
  <c r="S243" i="12"/>
  <c r="S244" i="12"/>
  <c r="S245" i="12"/>
  <c r="S246" i="12"/>
  <c r="S247" i="12"/>
  <c r="S248" i="12"/>
  <c r="S249" i="12"/>
  <c r="S250" i="12"/>
  <c r="S251" i="12"/>
  <c r="S252" i="12"/>
  <c r="S253" i="12"/>
  <c r="S254" i="12"/>
  <c r="S255" i="12"/>
  <c r="S256" i="12"/>
  <c r="S257" i="12"/>
  <c r="S258" i="12"/>
  <c r="S259" i="12"/>
  <c r="S260" i="12"/>
  <c r="S261" i="12"/>
  <c r="S262" i="12"/>
  <c r="S263" i="12"/>
  <c r="S264" i="12"/>
  <c r="S265" i="12"/>
  <c r="S266" i="12"/>
  <c r="S267" i="12"/>
  <c r="S268" i="12"/>
  <c r="S269" i="12"/>
  <c r="S270" i="12"/>
  <c r="S271" i="12"/>
  <c r="S272" i="12"/>
  <c r="S273" i="12"/>
  <c r="S274" i="12"/>
  <c r="S275" i="12"/>
  <c r="S276" i="12"/>
  <c r="S277" i="12"/>
  <c r="S278" i="12"/>
  <c r="S279" i="12"/>
  <c r="S280" i="12"/>
  <c r="S281" i="12"/>
  <c r="S282" i="12"/>
  <c r="S283" i="12"/>
  <c r="S284" i="12"/>
  <c r="S285" i="12"/>
  <c r="S286" i="12"/>
  <c r="S287" i="12"/>
  <c r="S288" i="12"/>
  <c r="S289" i="12"/>
  <c r="S290" i="12"/>
  <c r="S291" i="12"/>
  <c r="S292" i="12"/>
  <c r="S293" i="12"/>
  <c r="S294" i="12"/>
  <c r="S295" i="12"/>
  <c r="S296" i="12"/>
  <c r="S297" i="12"/>
  <c r="S298" i="12"/>
  <c r="S299" i="12"/>
  <c r="S300" i="12"/>
  <c r="S301" i="12"/>
  <c r="S302" i="12"/>
  <c r="S303" i="12"/>
  <c r="S304" i="12"/>
  <c r="S305" i="12"/>
  <c r="S306" i="12"/>
  <c r="S307" i="12"/>
  <c r="S308" i="12"/>
  <c r="S309" i="12"/>
  <c r="S310" i="12"/>
  <c r="S311" i="12"/>
  <c r="S312" i="12"/>
  <c r="S19" i="12"/>
  <c r="K18" i="12"/>
  <c r="F334" i="12"/>
  <c r="F335" i="12"/>
  <c r="F336" i="12"/>
  <c r="F337" i="12"/>
  <c r="F338" i="12"/>
  <c r="F339" i="12"/>
  <c r="F340" i="12"/>
  <c r="F341" i="12"/>
  <c r="F333" i="12"/>
  <c r="F332" i="12"/>
  <c r="F342" i="12"/>
  <c r="F343" i="12"/>
  <c r="C299" i="12"/>
  <c r="E299" i="12" s="1"/>
  <c r="G299" i="12"/>
  <c r="H299" i="12" s="1"/>
  <c r="L299" i="12"/>
  <c r="N299" i="12"/>
  <c r="X299" i="12" s="1"/>
  <c r="Y299" i="12" s="1"/>
  <c r="O299" i="12"/>
  <c r="P299" i="12" s="1"/>
  <c r="Z299" i="12"/>
  <c r="C300" i="12"/>
  <c r="E300" i="12" s="1"/>
  <c r="F300" i="12" s="1"/>
  <c r="I300" i="12" s="1"/>
  <c r="G300" i="12"/>
  <c r="H300" i="12" s="1"/>
  <c r="L300" i="12"/>
  <c r="N300" i="12"/>
  <c r="X300" i="12" s="1"/>
  <c r="Y300" i="12" s="1"/>
  <c r="O300" i="12"/>
  <c r="Z300" i="12"/>
  <c r="C301" i="12"/>
  <c r="E301" i="12" s="1"/>
  <c r="F301" i="12" s="1"/>
  <c r="I301" i="12" s="1"/>
  <c r="G301" i="12"/>
  <c r="H301" i="12" s="1"/>
  <c r="L301" i="12"/>
  <c r="N301" i="12"/>
  <c r="X301" i="12" s="1"/>
  <c r="Y301" i="12" s="1"/>
  <c r="O301" i="12"/>
  <c r="P301" i="12" s="1"/>
  <c r="Z301" i="12"/>
  <c r="C302" i="12"/>
  <c r="E302" i="12" s="1"/>
  <c r="F302" i="12" s="1"/>
  <c r="I302" i="12" s="1"/>
  <c r="G302" i="12"/>
  <c r="H302" i="12" s="1"/>
  <c r="L302" i="12"/>
  <c r="N302" i="12"/>
  <c r="X302" i="12" s="1"/>
  <c r="Y302" i="12" s="1"/>
  <c r="O302" i="12"/>
  <c r="Z302" i="12"/>
  <c r="C303" i="12"/>
  <c r="E303" i="12" s="1"/>
  <c r="F303" i="12" s="1"/>
  <c r="I303" i="12" s="1"/>
  <c r="G303" i="12"/>
  <c r="H303" i="12" s="1"/>
  <c r="L303" i="12"/>
  <c r="N303" i="12"/>
  <c r="X303" i="12" s="1"/>
  <c r="Y303" i="12" s="1"/>
  <c r="O303" i="12"/>
  <c r="P303" i="12" s="1"/>
  <c r="Z303" i="12"/>
  <c r="C304" i="12"/>
  <c r="E304" i="12" s="1"/>
  <c r="F304" i="12" s="1"/>
  <c r="G304" i="12"/>
  <c r="H304" i="12" s="1"/>
  <c r="L304" i="12"/>
  <c r="N304" i="12"/>
  <c r="X304" i="12" s="1"/>
  <c r="Y304" i="12" s="1"/>
  <c r="O304" i="12"/>
  <c r="Z304" i="12"/>
  <c r="C305" i="12"/>
  <c r="E305" i="12" s="1"/>
  <c r="F305" i="12" s="1"/>
  <c r="I305" i="12" s="1"/>
  <c r="G305" i="12"/>
  <c r="H305" i="12" s="1"/>
  <c r="L305" i="12"/>
  <c r="N305" i="12"/>
  <c r="X305" i="12" s="1"/>
  <c r="Y305" i="12" s="1"/>
  <c r="O305" i="12"/>
  <c r="P305" i="12" s="1"/>
  <c r="Z305" i="12"/>
  <c r="C306" i="12"/>
  <c r="E306" i="12" s="1"/>
  <c r="F306" i="12" s="1"/>
  <c r="G306" i="12"/>
  <c r="H306" i="12" s="1"/>
  <c r="L306" i="12"/>
  <c r="N306" i="12"/>
  <c r="X306" i="12" s="1"/>
  <c r="Y306" i="12" s="1"/>
  <c r="O306" i="12"/>
  <c r="Z306" i="12"/>
  <c r="C307" i="12"/>
  <c r="E307" i="12" s="1"/>
  <c r="F307" i="12" s="1"/>
  <c r="I307" i="12" s="1"/>
  <c r="G307" i="12"/>
  <c r="H307" i="12" s="1"/>
  <c r="L307" i="12"/>
  <c r="N307" i="12"/>
  <c r="X307" i="12" s="1"/>
  <c r="Y307" i="12" s="1"/>
  <c r="O307" i="12"/>
  <c r="P307" i="12" s="1"/>
  <c r="Z307" i="12"/>
  <c r="C308" i="12"/>
  <c r="E308" i="12" s="1"/>
  <c r="F308" i="12" s="1"/>
  <c r="G308" i="12"/>
  <c r="H308" i="12" s="1"/>
  <c r="L308" i="12"/>
  <c r="N308" i="12"/>
  <c r="X308" i="12" s="1"/>
  <c r="Y308" i="12" s="1"/>
  <c r="O308" i="12"/>
  <c r="Z308" i="12"/>
  <c r="C309" i="12"/>
  <c r="E309" i="12" s="1"/>
  <c r="G309" i="12"/>
  <c r="H309" i="12" s="1"/>
  <c r="L309" i="12"/>
  <c r="N309" i="12"/>
  <c r="X309" i="12" s="1"/>
  <c r="Y309" i="12" s="1"/>
  <c r="O309" i="12"/>
  <c r="P309" i="12" s="1"/>
  <c r="Z309" i="12"/>
  <c r="C310" i="12"/>
  <c r="E310" i="12" s="1"/>
  <c r="F310" i="12" s="1"/>
  <c r="G310" i="12"/>
  <c r="H310" i="12" s="1"/>
  <c r="L310" i="12"/>
  <c r="N310" i="12"/>
  <c r="X310" i="12" s="1"/>
  <c r="Y310" i="12" s="1"/>
  <c r="O310" i="12"/>
  <c r="Z310" i="12"/>
  <c r="C311" i="12"/>
  <c r="E311" i="12" s="1"/>
  <c r="F311" i="12" s="1"/>
  <c r="I311" i="12" s="1"/>
  <c r="G311" i="12"/>
  <c r="H311" i="12" s="1"/>
  <c r="L311" i="12"/>
  <c r="N311" i="12"/>
  <c r="X311" i="12" s="1"/>
  <c r="Y311" i="12" s="1"/>
  <c r="O311" i="12"/>
  <c r="P311" i="12" s="1"/>
  <c r="Z311" i="12"/>
  <c r="C312" i="12"/>
  <c r="E312" i="12" s="1"/>
  <c r="F312" i="12" s="1"/>
  <c r="G312" i="12"/>
  <c r="H312" i="12" s="1"/>
  <c r="L312" i="12"/>
  <c r="N312" i="12"/>
  <c r="X312" i="12" s="1"/>
  <c r="Y312" i="12" s="1"/>
  <c r="O312" i="12"/>
  <c r="Z312" i="12"/>
  <c r="O20" i="12"/>
  <c r="O21" i="12"/>
  <c r="P21" i="12" s="1"/>
  <c r="O22" i="12"/>
  <c r="O23" i="12"/>
  <c r="P23" i="12" s="1"/>
  <c r="O24" i="12"/>
  <c r="R24" i="12" s="1"/>
  <c r="O25" i="12"/>
  <c r="P25" i="12" s="1"/>
  <c r="O26" i="12"/>
  <c r="O27" i="12"/>
  <c r="P27" i="12" s="1"/>
  <c r="O28" i="12"/>
  <c r="O29" i="12"/>
  <c r="P29" i="12" s="1"/>
  <c r="O30" i="12"/>
  <c r="O31" i="12"/>
  <c r="P31" i="12" s="1"/>
  <c r="O32" i="12"/>
  <c r="R32" i="12" s="1"/>
  <c r="O33" i="12"/>
  <c r="P33" i="12" s="1"/>
  <c r="O34" i="12"/>
  <c r="O35" i="12"/>
  <c r="P35" i="12" s="1"/>
  <c r="O36" i="12"/>
  <c r="O37" i="12"/>
  <c r="P37" i="12" s="1"/>
  <c r="O38" i="12"/>
  <c r="O39" i="12"/>
  <c r="P39" i="12" s="1"/>
  <c r="O40" i="12"/>
  <c r="O41" i="12"/>
  <c r="P41" i="12" s="1"/>
  <c r="O42" i="12"/>
  <c r="O43" i="12"/>
  <c r="P43" i="12" s="1"/>
  <c r="O44" i="12"/>
  <c r="O45" i="12"/>
  <c r="P45" i="12" s="1"/>
  <c r="O46" i="12"/>
  <c r="O47" i="12"/>
  <c r="P47" i="12" s="1"/>
  <c r="O48" i="12"/>
  <c r="O49" i="12"/>
  <c r="P49" i="12" s="1"/>
  <c r="O50" i="12"/>
  <c r="O51" i="12"/>
  <c r="P51" i="12" s="1"/>
  <c r="O52" i="12"/>
  <c r="O53" i="12"/>
  <c r="P53" i="12" s="1"/>
  <c r="O54" i="12"/>
  <c r="O55" i="12"/>
  <c r="P55" i="12" s="1"/>
  <c r="O56" i="12"/>
  <c r="O57" i="12"/>
  <c r="P57" i="12" s="1"/>
  <c r="O58" i="12"/>
  <c r="O59" i="12"/>
  <c r="P59" i="12" s="1"/>
  <c r="O60" i="12"/>
  <c r="O61" i="12"/>
  <c r="P61" i="12" s="1"/>
  <c r="O62" i="12"/>
  <c r="O63" i="12"/>
  <c r="P63" i="12" s="1"/>
  <c r="O64" i="12"/>
  <c r="O65" i="12"/>
  <c r="P65" i="12" s="1"/>
  <c r="O66" i="12"/>
  <c r="O67" i="12"/>
  <c r="P67" i="12" s="1"/>
  <c r="O68" i="12"/>
  <c r="O69" i="12"/>
  <c r="P69" i="12" s="1"/>
  <c r="O70" i="12"/>
  <c r="O71" i="12"/>
  <c r="P71" i="12" s="1"/>
  <c r="O72" i="12"/>
  <c r="O73" i="12"/>
  <c r="P73" i="12" s="1"/>
  <c r="O74" i="12"/>
  <c r="O75" i="12"/>
  <c r="P75" i="12" s="1"/>
  <c r="O76" i="12"/>
  <c r="O77" i="12"/>
  <c r="P77" i="12" s="1"/>
  <c r="O78" i="12"/>
  <c r="O79" i="12"/>
  <c r="P79" i="12" s="1"/>
  <c r="O80" i="12"/>
  <c r="O81" i="12"/>
  <c r="P81" i="12" s="1"/>
  <c r="O82" i="12"/>
  <c r="O83" i="12"/>
  <c r="P83" i="12" s="1"/>
  <c r="O84" i="12"/>
  <c r="O85" i="12"/>
  <c r="P85" i="12" s="1"/>
  <c r="O86" i="12"/>
  <c r="O87" i="12"/>
  <c r="P87" i="12" s="1"/>
  <c r="O88" i="12"/>
  <c r="O89" i="12"/>
  <c r="P89" i="12" s="1"/>
  <c r="O90" i="12"/>
  <c r="O91" i="12"/>
  <c r="P91" i="12" s="1"/>
  <c r="O92" i="12"/>
  <c r="O93" i="12"/>
  <c r="P93" i="12" s="1"/>
  <c r="O94" i="12"/>
  <c r="O95" i="12"/>
  <c r="P95" i="12" s="1"/>
  <c r="O96" i="12"/>
  <c r="O97" i="12"/>
  <c r="P97" i="12" s="1"/>
  <c r="O98" i="12"/>
  <c r="O99" i="12"/>
  <c r="P99" i="12" s="1"/>
  <c r="O100" i="12"/>
  <c r="O101" i="12"/>
  <c r="P101" i="12" s="1"/>
  <c r="O102" i="12"/>
  <c r="O103" i="12"/>
  <c r="P103" i="12" s="1"/>
  <c r="O104" i="12"/>
  <c r="O105" i="12"/>
  <c r="P105" i="12" s="1"/>
  <c r="O106" i="12"/>
  <c r="O107" i="12"/>
  <c r="P107" i="12" s="1"/>
  <c r="O108" i="12"/>
  <c r="O109" i="12"/>
  <c r="P109" i="12" s="1"/>
  <c r="O110" i="12"/>
  <c r="O111" i="12"/>
  <c r="P111" i="12" s="1"/>
  <c r="O112" i="12"/>
  <c r="O113" i="12"/>
  <c r="P113" i="12" s="1"/>
  <c r="O114" i="12"/>
  <c r="O115" i="12"/>
  <c r="O116" i="12"/>
  <c r="O117" i="12"/>
  <c r="P117" i="12" s="1"/>
  <c r="O118" i="12"/>
  <c r="O119" i="12"/>
  <c r="O120" i="12"/>
  <c r="O121" i="12"/>
  <c r="P121" i="12" s="1"/>
  <c r="O122" i="12"/>
  <c r="O123" i="12"/>
  <c r="O124" i="12"/>
  <c r="O125" i="12"/>
  <c r="P125" i="12" s="1"/>
  <c r="O126" i="12"/>
  <c r="O127" i="12"/>
  <c r="O128" i="12"/>
  <c r="O129" i="12"/>
  <c r="P129" i="12" s="1"/>
  <c r="O130" i="12"/>
  <c r="O131" i="12"/>
  <c r="O132" i="12"/>
  <c r="O133" i="12"/>
  <c r="P133" i="12" s="1"/>
  <c r="O134" i="12"/>
  <c r="O135" i="12"/>
  <c r="O136" i="12"/>
  <c r="O137" i="12"/>
  <c r="P137" i="12" s="1"/>
  <c r="O138" i="12"/>
  <c r="O139" i="12"/>
  <c r="O140" i="12"/>
  <c r="O141" i="12"/>
  <c r="P141" i="12" s="1"/>
  <c r="O142" i="12"/>
  <c r="O143" i="12"/>
  <c r="O144" i="12"/>
  <c r="O145" i="12"/>
  <c r="P145" i="12" s="1"/>
  <c r="O146" i="12"/>
  <c r="O147" i="12"/>
  <c r="O148" i="12"/>
  <c r="O149" i="12"/>
  <c r="P149" i="12" s="1"/>
  <c r="O150" i="12"/>
  <c r="O151" i="12"/>
  <c r="O152" i="12"/>
  <c r="O153" i="12"/>
  <c r="P153" i="12" s="1"/>
  <c r="O154" i="12"/>
  <c r="O155" i="12"/>
  <c r="O156" i="12"/>
  <c r="O157" i="12"/>
  <c r="P157" i="12" s="1"/>
  <c r="O158" i="12"/>
  <c r="O159" i="12"/>
  <c r="O160" i="12"/>
  <c r="O161" i="12"/>
  <c r="P161" i="12" s="1"/>
  <c r="O162" i="12"/>
  <c r="O163" i="12"/>
  <c r="O164" i="12"/>
  <c r="O165" i="12"/>
  <c r="P165" i="12" s="1"/>
  <c r="O166" i="12"/>
  <c r="O167" i="12"/>
  <c r="O168" i="12"/>
  <c r="O169" i="12"/>
  <c r="P169" i="12" s="1"/>
  <c r="O170" i="12"/>
  <c r="O171" i="12"/>
  <c r="O172" i="12"/>
  <c r="O173" i="12"/>
  <c r="P173" i="12" s="1"/>
  <c r="O174" i="12"/>
  <c r="O175" i="12"/>
  <c r="O176" i="12"/>
  <c r="O177" i="12"/>
  <c r="P177" i="12" s="1"/>
  <c r="O178" i="12"/>
  <c r="O179" i="12"/>
  <c r="O180" i="12"/>
  <c r="O181" i="12"/>
  <c r="P181" i="12" s="1"/>
  <c r="O182" i="12"/>
  <c r="O183" i="12"/>
  <c r="O184" i="12"/>
  <c r="O185" i="12"/>
  <c r="P185" i="12" s="1"/>
  <c r="O186" i="12"/>
  <c r="O187" i="12"/>
  <c r="O188" i="12"/>
  <c r="O189" i="12"/>
  <c r="P189" i="12" s="1"/>
  <c r="O190" i="12"/>
  <c r="O191" i="12"/>
  <c r="O192" i="12"/>
  <c r="O193" i="12"/>
  <c r="O194" i="12"/>
  <c r="O195" i="12"/>
  <c r="O196" i="12"/>
  <c r="O197" i="12"/>
  <c r="O198" i="12"/>
  <c r="O199" i="12"/>
  <c r="O200" i="12"/>
  <c r="O201" i="12"/>
  <c r="O202" i="12"/>
  <c r="O203" i="12"/>
  <c r="O204" i="12"/>
  <c r="O205" i="12"/>
  <c r="O206" i="12"/>
  <c r="O207" i="12"/>
  <c r="O208" i="12"/>
  <c r="O209" i="12"/>
  <c r="O210" i="12"/>
  <c r="O211" i="12"/>
  <c r="O212" i="12"/>
  <c r="O213" i="12"/>
  <c r="O214" i="12"/>
  <c r="O215" i="12"/>
  <c r="O216" i="12"/>
  <c r="O217" i="12"/>
  <c r="O218" i="12"/>
  <c r="O219" i="12"/>
  <c r="O220" i="12"/>
  <c r="O221" i="12"/>
  <c r="O222" i="12"/>
  <c r="O223" i="12"/>
  <c r="O224" i="12"/>
  <c r="O225" i="12"/>
  <c r="O226" i="12"/>
  <c r="O227" i="12"/>
  <c r="O228" i="12"/>
  <c r="O229" i="12"/>
  <c r="O230" i="12"/>
  <c r="O231" i="12"/>
  <c r="O232" i="12"/>
  <c r="O233" i="12"/>
  <c r="O234" i="12"/>
  <c r="O235" i="12"/>
  <c r="O236" i="12"/>
  <c r="O237" i="12"/>
  <c r="O238" i="12"/>
  <c r="O239" i="12"/>
  <c r="O240" i="12"/>
  <c r="O241" i="12"/>
  <c r="O242" i="12"/>
  <c r="O243" i="12"/>
  <c r="O244" i="12"/>
  <c r="O245" i="12"/>
  <c r="O246" i="12"/>
  <c r="O247" i="12"/>
  <c r="O248" i="12"/>
  <c r="O249" i="12"/>
  <c r="O250" i="12"/>
  <c r="O251" i="12"/>
  <c r="O252" i="12"/>
  <c r="O253" i="12"/>
  <c r="O254" i="12"/>
  <c r="O255" i="12"/>
  <c r="O256" i="12"/>
  <c r="O257" i="12"/>
  <c r="O258" i="12"/>
  <c r="O259" i="12"/>
  <c r="O260" i="12"/>
  <c r="O261" i="12"/>
  <c r="O262" i="12"/>
  <c r="O263" i="12"/>
  <c r="O264" i="12"/>
  <c r="O265" i="12"/>
  <c r="O266" i="12"/>
  <c r="O267" i="12"/>
  <c r="O268" i="12"/>
  <c r="O269" i="12"/>
  <c r="O270" i="12"/>
  <c r="O271" i="12"/>
  <c r="O272" i="12"/>
  <c r="O273" i="12"/>
  <c r="O274" i="12"/>
  <c r="O275" i="12"/>
  <c r="O276" i="12"/>
  <c r="O277" i="12"/>
  <c r="O278" i="12"/>
  <c r="O279" i="12"/>
  <c r="O280" i="12"/>
  <c r="O281" i="12"/>
  <c r="O282" i="12"/>
  <c r="O283" i="12"/>
  <c r="O284" i="12"/>
  <c r="O285" i="12"/>
  <c r="O286" i="12"/>
  <c r="O287" i="12"/>
  <c r="O288" i="12"/>
  <c r="O289" i="12"/>
  <c r="O290" i="12"/>
  <c r="O291" i="12"/>
  <c r="O292" i="12"/>
  <c r="O293" i="12"/>
  <c r="O294" i="12"/>
  <c r="O295" i="12"/>
  <c r="O296" i="12"/>
  <c r="O297" i="12"/>
  <c r="O298" i="12"/>
  <c r="O19" i="12"/>
  <c r="R19" i="12" s="1"/>
  <c r="C342" i="12"/>
  <c r="D342" i="12"/>
  <c r="H22" i="15" l="1"/>
  <c r="H23" i="15" s="1"/>
  <c r="H24" i="15"/>
  <c r="H25" i="15" s="1"/>
  <c r="E13" i="15"/>
  <c r="E15" i="15" s="1"/>
  <c r="E16" i="15" s="1"/>
  <c r="J307" i="12"/>
  <c r="K307" i="12" s="1"/>
  <c r="J305" i="12"/>
  <c r="K305" i="12" s="1"/>
  <c r="J303" i="12"/>
  <c r="K303" i="12" s="1"/>
  <c r="J301" i="12"/>
  <c r="K301" i="12" s="1"/>
  <c r="J311" i="12"/>
  <c r="K311" i="12" s="1"/>
  <c r="J302" i="12"/>
  <c r="K302" i="12" s="1"/>
  <c r="J300" i="12"/>
  <c r="K300" i="12" s="1"/>
  <c r="F299" i="12"/>
  <c r="I299" i="12" s="1"/>
  <c r="J299" i="12" s="1"/>
  <c r="K299" i="12" s="1"/>
  <c r="T299" i="12" s="1"/>
  <c r="P312" i="12"/>
  <c r="P310" i="12"/>
  <c r="F309" i="12"/>
  <c r="I309" i="12" s="1"/>
  <c r="J309" i="12" s="1"/>
  <c r="K309" i="12" s="1"/>
  <c r="T309" i="12" s="1"/>
  <c r="P308" i="12"/>
  <c r="P306" i="12"/>
  <c r="P304" i="12"/>
  <c r="P302" i="12"/>
  <c r="P300" i="12"/>
  <c r="I312" i="12"/>
  <c r="J312" i="12" s="1"/>
  <c r="K312" i="12" s="1"/>
  <c r="T312" i="12" s="1"/>
  <c r="I310" i="12"/>
  <c r="J310" i="12" s="1"/>
  <c r="K310" i="12" s="1"/>
  <c r="T310" i="12" s="1"/>
  <c r="I308" i="12"/>
  <c r="J308" i="12" s="1"/>
  <c r="K308" i="12" s="1"/>
  <c r="T308" i="12" s="1"/>
  <c r="I306" i="12"/>
  <c r="J306" i="12" s="1"/>
  <c r="K306" i="12" s="1"/>
  <c r="T306" i="12" s="1"/>
  <c r="I304" i="12"/>
  <c r="J304" i="12" s="1"/>
  <c r="K304" i="12" s="1"/>
  <c r="T304" i="12" s="1"/>
  <c r="R29" i="12"/>
  <c r="R27" i="12"/>
  <c r="R21" i="12"/>
  <c r="P294" i="12"/>
  <c r="P286" i="12"/>
  <c r="P278" i="12"/>
  <c r="P270" i="12"/>
  <c r="P262" i="12"/>
  <c r="P254" i="12"/>
  <c r="P246" i="12"/>
  <c r="P238" i="12"/>
  <c r="P230" i="12"/>
  <c r="P222" i="12"/>
  <c r="P218" i="12"/>
  <c r="P210" i="12"/>
  <c r="P202" i="12"/>
  <c r="P194" i="12"/>
  <c r="R26" i="12"/>
  <c r="P298" i="12"/>
  <c r="P290" i="12"/>
  <c r="P282" i="12"/>
  <c r="P274" i="12"/>
  <c r="P266" i="12"/>
  <c r="P258" i="12"/>
  <c r="P250" i="12"/>
  <c r="P242" i="12"/>
  <c r="P234" i="12"/>
  <c r="P226" i="12"/>
  <c r="P214" i="12"/>
  <c r="P206" i="12"/>
  <c r="P198" i="12"/>
  <c r="P190" i="12"/>
  <c r="R30" i="12"/>
  <c r="R22" i="12"/>
  <c r="P296" i="12"/>
  <c r="P292" i="12"/>
  <c r="P288" i="12"/>
  <c r="P284" i="12"/>
  <c r="P280" i="12"/>
  <c r="P276" i="12"/>
  <c r="P272" i="12"/>
  <c r="P268" i="12"/>
  <c r="P264" i="12"/>
  <c r="P260" i="12"/>
  <c r="P256" i="12"/>
  <c r="P252" i="12"/>
  <c r="P248" i="12"/>
  <c r="P244" i="12"/>
  <c r="P240" i="12"/>
  <c r="P236" i="12"/>
  <c r="P232" i="12"/>
  <c r="P228" i="12"/>
  <c r="P224" i="12"/>
  <c r="P220" i="12"/>
  <c r="P216" i="12"/>
  <c r="P212" i="12"/>
  <c r="P208" i="12"/>
  <c r="P204" i="12"/>
  <c r="P200" i="12"/>
  <c r="P196" i="12"/>
  <c r="P192" i="12"/>
  <c r="R28" i="12"/>
  <c r="R20" i="12"/>
  <c r="R25" i="12"/>
  <c r="R31" i="12"/>
  <c r="R23" i="12"/>
  <c r="P187" i="12"/>
  <c r="P179" i="12"/>
  <c r="P171" i="12"/>
  <c r="P163" i="12"/>
  <c r="P155" i="12"/>
  <c r="P143" i="12"/>
  <c r="P135" i="12"/>
  <c r="P127" i="12"/>
  <c r="P119" i="12"/>
  <c r="P19" i="12"/>
  <c r="P183" i="12"/>
  <c r="P175" i="12"/>
  <c r="P167" i="12"/>
  <c r="P159" i="12"/>
  <c r="P151" i="12"/>
  <c r="P147" i="12"/>
  <c r="P139" i="12"/>
  <c r="P131" i="12"/>
  <c r="P123" i="12"/>
  <c r="P115" i="12"/>
  <c r="P186" i="12"/>
  <c r="P182" i="12"/>
  <c r="P178" i="12"/>
  <c r="P174" i="12"/>
  <c r="P170" i="12"/>
  <c r="P166" i="12"/>
  <c r="P162" i="12"/>
  <c r="P158" i="12"/>
  <c r="P154" i="12"/>
  <c r="P150" i="12"/>
  <c r="P146" i="12"/>
  <c r="P142" i="12"/>
  <c r="P138" i="12"/>
  <c r="P134" i="12"/>
  <c r="P130" i="12"/>
  <c r="P126" i="12"/>
  <c r="P122" i="12"/>
  <c r="P118" i="12"/>
  <c r="P114" i="12"/>
  <c r="P110" i="12"/>
  <c r="P106" i="12"/>
  <c r="P102" i="12"/>
  <c r="P98" i="12"/>
  <c r="P94" i="12"/>
  <c r="P90" i="12"/>
  <c r="P86" i="12"/>
  <c r="P82" i="12"/>
  <c r="P78" i="12"/>
  <c r="P74" i="12"/>
  <c r="P70" i="12"/>
  <c r="P66" i="12"/>
  <c r="P62" i="12"/>
  <c r="P58" i="12"/>
  <c r="P54" i="12"/>
  <c r="P50" i="12"/>
  <c r="P46" i="12"/>
  <c r="P42" i="12"/>
  <c r="P38" i="12"/>
  <c r="P34" i="12"/>
  <c r="P30" i="12"/>
  <c r="P26" i="12"/>
  <c r="P22" i="12"/>
  <c r="P297" i="12"/>
  <c r="P295" i="12"/>
  <c r="P293" i="12"/>
  <c r="P291" i="12"/>
  <c r="P289" i="12"/>
  <c r="P287" i="12"/>
  <c r="P285" i="12"/>
  <c r="P283" i="12"/>
  <c r="P281" i="12"/>
  <c r="P279" i="12"/>
  <c r="P277" i="12"/>
  <c r="P275" i="12"/>
  <c r="P273" i="12"/>
  <c r="P271" i="12"/>
  <c r="P269" i="12"/>
  <c r="P267" i="12"/>
  <c r="P265" i="12"/>
  <c r="P263" i="12"/>
  <c r="P261" i="12"/>
  <c r="P259" i="12"/>
  <c r="P257" i="12"/>
  <c r="P255" i="12"/>
  <c r="P253" i="12"/>
  <c r="P251" i="12"/>
  <c r="P249" i="12"/>
  <c r="P247" i="12"/>
  <c r="P245" i="12"/>
  <c r="P243" i="12"/>
  <c r="P241" i="12"/>
  <c r="P239" i="12"/>
  <c r="P237" i="12"/>
  <c r="P235" i="12"/>
  <c r="P233" i="12"/>
  <c r="P231" i="12"/>
  <c r="P229" i="12"/>
  <c r="P227" i="12"/>
  <c r="P225" i="12"/>
  <c r="P223" i="12"/>
  <c r="P221" i="12"/>
  <c r="P219" i="12"/>
  <c r="P217" i="12"/>
  <c r="P215" i="12"/>
  <c r="P213" i="12"/>
  <c r="P211" i="12"/>
  <c r="P209" i="12"/>
  <c r="P207" i="12"/>
  <c r="P205" i="12"/>
  <c r="P203" i="12"/>
  <c r="P201" i="12"/>
  <c r="P199" i="12"/>
  <c r="P197" i="12"/>
  <c r="P195" i="12"/>
  <c r="P193" i="12"/>
  <c r="P191" i="12"/>
  <c r="P188" i="12"/>
  <c r="P184" i="12"/>
  <c r="P180" i="12"/>
  <c r="P176" i="12"/>
  <c r="P172" i="12"/>
  <c r="P168" i="12"/>
  <c r="P164" i="12"/>
  <c r="P160" i="12"/>
  <c r="P156" i="12"/>
  <c r="P152" i="12"/>
  <c r="P148" i="12"/>
  <c r="P144" i="12"/>
  <c r="P140" i="12"/>
  <c r="P136" i="12"/>
  <c r="P132" i="12"/>
  <c r="P128" i="12"/>
  <c r="P124" i="12"/>
  <c r="P120" i="12"/>
  <c r="P116" i="12"/>
  <c r="P112" i="12"/>
  <c r="P108" i="12"/>
  <c r="P104" i="12"/>
  <c r="P100" i="12"/>
  <c r="P96" i="12"/>
  <c r="P92" i="12"/>
  <c r="P88" i="12"/>
  <c r="P84" i="12"/>
  <c r="P80" i="12"/>
  <c r="P76" i="12"/>
  <c r="P72" i="12"/>
  <c r="P68" i="12"/>
  <c r="P64" i="12"/>
  <c r="P60" i="12"/>
  <c r="P56" i="12"/>
  <c r="P52" i="12"/>
  <c r="P48" i="12"/>
  <c r="P44" i="12"/>
  <c r="P40" i="12"/>
  <c r="P36" i="12"/>
  <c r="P32" i="12"/>
  <c r="P28" i="12"/>
  <c r="P24" i="12"/>
  <c r="P20" i="12"/>
  <c r="H37" i="3"/>
  <c r="O10" i="3"/>
  <c r="O9" i="3"/>
  <c r="O37" i="3"/>
  <c r="O8" i="3"/>
  <c r="H13" i="15" l="1"/>
  <c r="J13" i="15" s="1"/>
  <c r="K13" i="15" s="1"/>
  <c r="M301" i="12"/>
  <c r="Q301" i="12" s="1"/>
  <c r="T301" i="12"/>
  <c r="Q300" i="12"/>
  <c r="T300" i="12"/>
  <c r="M303" i="12"/>
  <c r="Q303" i="12" s="1"/>
  <c r="T303" i="12"/>
  <c r="M302" i="12"/>
  <c r="Q302" i="12" s="1"/>
  <c r="T302" i="12"/>
  <c r="M305" i="12"/>
  <c r="Q305" i="12" s="1"/>
  <c r="T305" i="12"/>
  <c r="M311" i="12"/>
  <c r="Q311" i="12" s="1"/>
  <c r="T311" i="12"/>
  <c r="M307" i="12"/>
  <c r="Q307" i="12" s="1"/>
  <c r="T307" i="12"/>
  <c r="M300" i="12"/>
  <c r="M309" i="12"/>
  <c r="Q309" i="12" s="1"/>
  <c r="M308" i="12"/>
  <c r="Q308" i="12" s="1"/>
  <c r="M299" i="12"/>
  <c r="Q299" i="12"/>
  <c r="M310" i="12"/>
  <c r="Q310" i="12" s="1"/>
  <c r="M306" i="12"/>
  <c r="Q306" i="12" s="1"/>
  <c r="M304" i="12"/>
  <c r="Q304" i="12" s="1"/>
  <c r="M312" i="12"/>
  <c r="Q312" i="12" s="1"/>
  <c r="F37" i="3"/>
  <c r="D37" i="3" s="1"/>
  <c r="H15" i="15" l="1"/>
  <c r="H16" i="15" s="1"/>
  <c r="H36" i="3"/>
  <c r="N8" i="3"/>
  <c r="O7" i="3" l="1"/>
  <c r="F36" i="3" l="1"/>
  <c r="D36" i="3" s="1"/>
  <c r="Y6" i="12"/>
  <c r="N20" i="12"/>
  <c r="X20" i="12" s="1"/>
  <c r="Y20" i="12" s="1"/>
  <c r="Z20" i="12"/>
  <c r="N21" i="12"/>
  <c r="X21" i="12" s="1"/>
  <c r="Y21" i="12" s="1"/>
  <c r="Z21" i="12"/>
  <c r="N22" i="12"/>
  <c r="X22" i="12" s="1"/>
  <c r="Y22" i="12" s="1"/>
  <c r="Z22" i="12"/>
  <c r="N23" i="12"/>
  <c r="X23" i="12" s="1"/>
  <c r="Y23" i="12" s="1"/>
  <c r="Z23" i="12"/>
  <c r="N24" i="12"/>
  <c r="X24" i="12" s="1"/>
  <c r="Y24" i="12" s="1"/>
  <c r="Z24" i="12"/>
  <c r="N25" i="12"/>
  <c r="X25" i="12" s="1"/>
  <c r="Y25" i="12" s="1"/>
  <c r="Z25" i="12"/>
  <c r="N26" i="12"/>
  <c r="X26" i="12" s="1"/>
  <c r="Y26" i="12" s="1"/>
  <c r="Z26" i="12"/>
  <c r="N27" i="12"/>
  <c r="X27" i="12" s="1"/>
  <c r="Y27" i="12" s="1"/>
  <c r="Z27" i="12"/>
  <c r="N28" i="12"/>
  <c r="X28" i="12" s="1"/>
  <c r="Y28" i="12" s="1"/>
  <c r="Z28" i="12"/>
  <c r="N29" i="12"/>
  <c r="X29" i="12" s="1"/>
  <c r="Y29" i="12" s="1"/>
  <c r="Z29" i="12"/>
  <c r="N30" i="12"/>
  <c r="X30" i="12" s="1"/>
  <c r="Y30" i="12" s="1"/>
  <c r="Z30" i="12"/>
  <c r="N31" i="12"/>
  <c r="X31" i="12" s="1"/>
  <c r="Y31" i="12" s="1"/>
  <c r="Z31" i="12"/>
  <c r="N32" i="12"/>
  <c r="X32" i="12" s="1"/>
  <c r="Y32" i="12" s="1"/>
  <c r="Z32" i="12"/>
  <c r="N33" i="12"/>
  <c r="X33" i="12" s="1"/>
  <c r="Y33" i="12" s="1"/>
  <c r="Z33" i="12"/>
  <c r="N34" i="12"/>
  <c r="X34" i="12" s="1"/>
  <c r="Y34" i="12" s="1"/>
  <c r="Z34" i="12"/>
  <c r="N35" i="12"/>
  <c r="X35" i="12" s="1"/>
  <c r="Y35" i="12" s="1"/>
  <c r="Z35" i="12"/>
  <c r="N36" i="12"/>
  <c r="X36" i="12" s="1"/>
  <c r="Y36" i="12" s="1"/>
  <c r="Z36" i="12"/>
  <c r="N37" i="12"/>
  <c r="X37" i="12" s="1"/>
  <c r="Y37" i="12" s="1"/>
  <c r="Z37" i="12"/>
  <c r="N38" i="12"/>
  <c r="X38" i="12" s="1"/>
  <c r="Y38" i="12" s="1"/>
  <c r="Z38" i="12"/>
  <c r="N39" i="12"/>
  <c r="X39" i="12" s="1"/>
  <c r="Y39" i="12" s="1"/>
  <c r="Z39" i="12"/>
  <c r="N40" i="12"/>
  <c r="X40" i="12" s="1"/>
  <c r="Y40" i="12" s="1"/>
  <c r="Z40" i="12"/>
  <c r="N41" i="12"/>
  <c r="X41" i="12" s="1"/>
  <c r="Y41" i="12" s="1"/>
  <c r="Z41" i="12"/>
  <c r="N42" i="12"/>
  <c r="X42" i="12" s="1"/>
  <c r="Y42" i="12" s="1"/>
  <c r="Z42" i="12"/>
  <c r="N43" i="12"/>
  <c r="X43" i="12" s="1"/>
  <c r="Y43" i="12" s="1"/>
  <c r="Z43" i="12"/>
  <c r="N44" i="12"/>
  <c r="X44" i="12" s="1"/>
  <c r="Y44" i="12" s="1"/>
  <c r="Z44" i="12"/>
  <c r="N45" i="12"/>
  <c r="X45" i="12" s="1"/>
  <c r="Y45" i="12" s="1"/>
  <c r="Z45" i="12"/>
  <c r="N46" i="12"/>
  <c r="X46" i="12" s="1"/>
  <c r="Y46" i="12" s="1"/>
  <c r="Z46" i="12"/>
  <c r="N47" i="12"/>
  <c r="X47" i="12" s="1"/>
  <c r="Y47" i="12" s="1"/>
  <c r="Z47" i="12"/>
  <c r="N48" i="12"/>
  <c r="X48" i="12" s="1"/>
  <c r="Y48" i="12" s="1"/>
  <c r="Z48" i="12"/>
  <c r="N49" i="12"/>
  <c r="X49" i="12" s="1"/>
  <c r="Y49" i="12" s="1"/>
  <c r="Z49" i="12"/>
  <c r="N50" i="12"/>
  <c r="X50" i="12" s="1"/>
  <c r="Y50" i="12" s="1"/>
  <c r="Z50" i="12"/>
  <c r="N51" i="12"/>
  <c r="X51" i="12" s="1"/>
  <c r="Y51" i="12" s="1"/>
  <c r="Z51" i="12"/>
  <c r="N52" i="12"/>
  <c r="X52" i="12" s="1"/>
  <c r="Y52" i="12" s="1"/>
  <c r="Z52" i="12"/>
  <c r="N53" i="12"/>
  <c r="X53" i="12" s="1"/>
  <c r="Y53" i="12" s="1"/>
  <c r="Z53" i="12"/>
  <c r="N54" i="12"/>
  <c r="X54" i="12" s="1"/>
  <c r="Y54" i="12" s="1"/>
  <c r="Z54" i="12"/>
  <c r="N55" i="12"/>
  <c r="X55" i="12" s="1"/>
  <c r="Y55" i="12" s="1"/>
  <c r="Z55" i="12"/>
  <c r="N56" i="12"/>
  <c r="X56" i="12" s="1"/>
  <c r="Y56" i="12" s="1"/>
  <c r="Z56" i="12"/>
  <c r="N57" i="12"/>
  <c r="X57" i="12" s="1"/>
  <c r="Y57" i="12" s="1"/>
  <c r="Z57" i="12"/>
  <c r="N58" i="12"/>
  <c r="X58" i="12" s="1"/>
  <c r="Y58" i="12" s="1"/>
  <c r="Z58" i="12"/>
  <c r="N59" i="12"/>
  <c r="X59" i="12" s="1"/>
  <c r="Y59" i="12" s="1"/>
  <c r="Z59" i="12"/>
  <c r="N60" i="12"/>
  <c r="X60" i="12" s="1"/>
  <c r="Y60" i="12" s="1"/>
  <c r="Z60" i="12"/>
  <c r="N61" i="12"/>
  <c r="X61" i="12" s="1"/>
  <c r="Y61" i="12" s="1"/>
  <c r="Z61" i="12"/>
  <c r="N62" i="12"/>
  <c r="X62" i="12" s="1"/>
  <c r="Y62" i="12" s="1"/>
  <c r="Z62" i="12"/>
  <c r="N63" i="12"/>
  <c r="X63" i="12" s="1"/>
  <c r="Y63" i="12" s="1"/>
  <c r="Z63" i="12"/>
  <c r="N64" i="12"/>
  <c r="X64" i="12" s="1"/>
  <c r="Y64" i="12" s="1"/>
  <c r="Z64" i="12"/>
  <c r="N65" i="12"/>
  <c r="X65" i="12" s="1"/>
  <c r="Y65" i="12" s="1"/>
  <c r="Z65" i="12"/>
  <c r="N66" i="12"/>
  <c r="X66" i="12" s="1"/>
  <c r="Y66" i="12" s="1"/>
  <c r="Z66" i="12"/>
  <c r="N67" i="12"/>
  <c r="X67" i="12" s="1"/>
  <c r="Y67" i="12" s="1"/>
  <c r="Z67" i="12"/>
  <c r="N68" i="12"/>
  <c r="X68" i="12" s="1"/>
  <c r="Y68" i="12" s="1"/>
  <c r="Z68" i="12"/>
  <c r="N69" i="12"/>
  <c r="X69" i="12" s="1"/>
  <c r="Y69" i="12" s="1"/>
  <c r="Z69" i="12"/>
  <c r="N70" i="12"/>
  <c r="X70" i="12" s="1"/>
  <c r="Y70" i="12" s="1"/>
  <c r="Z70" i="12"/>
  <c r="N71" i="12"/>
  <c r="X71" i="12" s="1"/>
  <c r="Y71" i="12" s="1"/>
  <c r="Z71" i="12"/>
  <c r="N72" i="12"/>
  <c r="X72" i="12" s="1"/>
  <c r="Y72" i="12" s="1"/>
  <c r="Z72" i="12"/>
  <c r="N73" i="12"/>
  <c r="X73" i="12" s="1"/>
  <c r="Y73" i="12" s="1"/>
  <c r="Z73" i="12"/>
  <c r="N74" i="12"/>
  <c r="X74" i="12" s="1"/>
  <c r="Y74" i="12" s="1"/>
  <c r="Z74" i="12"/>
  <c r="N75" i="12"/>
  <c r="X75" i="12" s="1"/>
  <c r="Y75" i="12" s="1"/>
  <c r="Z75" i="12"/>
  <c r="N76" i="12"/>
  <c r="X76" i="12" s="1"/>
  <c r="Y76" i="12" s="1"/>
  <c r="Z76" i="12"/>
  <c r="N77" i="12"/>
  <c r="X77" i="12" s="1"/>
  <c r="Y77" i="12" s="1"/>
  <c r="Z77" i="12"/>
  <c r="N78" i="12"/>
  <c r="X78" i="12" s="1"/>
  <c r="Y78" i="12" s="1"/>
  <c r="Z78" i="12"/>
  <c r="N79" i="12"/>
  <c r="X79" i="12" s="1"/>
  <c r="Y79" i="12" s="1"/>
  <c r="Z79" i="12"/>
  <c r="N80" i="12"/>
  <c r="X80" i="12" s="1"/>
  <c r="Y80" i="12" s="1"/>
  <c r="Z80" i="12"/>
  <c r="N81" i="12"/>
  <c r="X81" i="12" s="1"/>
  <c r="Y81" i="12" s="1"/>
  <c r="Z81" i="12"/>
  <c r="N82" i="12"/>
  <c r="X82" i="12" s="1"/>
  <c r="Y82" i="12" s="1"/>
  <c r="Z82" i="12"/>
  <c r="N83" i="12"/>
  <c r="X83" i="12" s="1"/>
  <c r="Y83" i="12" s="1"/>
  <c r="Z83" i="12"/>
  <c r="N84" i="12"/>
  <c r="X84" i="12" s="1"/>
  <c r="Y84" i="12" s="1"/>
  <c r="Z84" i="12"/>
  <c r="N85" i="12"/>
  <c r="X85" i="12" s="1"/>
  <c r="Y85" i="12" s="1"/>
  <c r="Z85" i="12"/>
  <c r="N86" i="12"/>
  <c r="X86" i="12" s="1"/>
  <c r="Y86" i="12" s="1"/>
  <c r="Z86" i="12"/>
  <c r="N87" i="12"/>
  <c r="X87" i="12" s="1"/>
  <c r="Y87" i="12" s="1"/>
  <c r="Z87" i="12"/>
  <c r="N88" i="12"/>
  <c r="X88" i="12" s="1"/>
  <c r="Y88" i="12" s="1"/>
  <c r="Z88" i="12"/>
  <c r="N89" i="12"/>
  <c r="X89" i="12" s="1"/>
  <c r="Y89" i="12" s="1"/>
  <c r="Z89" i="12"/>
  <c r="N90" i="12"/>
  <c r="X90" i="12" s="1"/>
  <c r="Y90" i="12" s="1"/>
  <c r="Z90" i="12"/>
  <c r="N91" i="12"/>
  <c r="X91" i="12" s="1"/>
  <c r="Y91" i="12" s="1"/>
  <c r="Z91" i="12"/>
  <c r="N92" i="12"/>
  <c r="X92" i="12" s="1"/>
  <c r="Y92" i="12" s="1"/>
  <c r="Z92" i="12"/>
  <c r="N93" i="12"/>
  <c r="X93" i="12" s="1"/>
  <c r="Y93" i="12" s="1"/>
  <c r="Z93" i="12"/>
  <c r="N94" i="12"/>
  <c r="X94" i="12" s="1"/>
  <c r="Y94" i="12" s="1"/>
  <c r="Z94" i="12"/>
  <c r="N95" i="12"/>
  <c r="X95" i="12" s="1"/>
  <c r="Y95" i="12" s="1"/>
  <c r="Z95" i="12"/>
  <c r="N96" i="12"/>
  <c r="X96" i="12" s="1"/>
  <c r="Y96" i="12" s="1"/>
  <c r="Z96" i="12"/>
  <c r="N97" i="12"/>
  <c r="X97" i="12" s="1"/>
  <c r="Y97" i="12" s="1"/>
  <c r="Z97" i="12"/>
  <c r="N98" i="12"/>
  <c r="X98" i="12" s="1"/>
  <c r="Y98" i="12" s="1"/>
  <c r="Z98" i="12"/>
  <c r="N99" i="12"/>
  <c r="X99" i="12" s="1"/>
  <c r="Y99" i="12" s="1"/>
  <c r="Z99" i="12"/>
  <c r="N100" i="12"/>
  <c r="X100" i="12" s="1"/>
  <c r="Y100" i="12" s="1"/>
  <c r="Z100" i="12"/>
  <c r="N101" i="12"/>
  <c r="X101" i="12" s="1"/>
  <c r="Y101" i="12" s="1"/>
  <c r="Z101" i="12"/>
  <c r="N102" i="12"/>
  <c r="X102" i="12" s="1"/>
  <c r="Y102" i="12" s="1"/>
  <c r="Z102" i="12"/>
  <c r="N103" i="12"/>
  <c r="X103" i="12" s="1"/>
  <c r="Y103" i="12" s="1"/>
  <c r="Z103" i="12"/>
  <c r="N104" i="12"/>
  <c r="X104" i="12" s="1"/>
  <c r="Y104" i="12" s="1"/>
  <c r="Z104" i="12"/>
  <c r="N105" i="12"/>
  <c r="X105" i="12" s="1"/>
  <c r="Y105" i="12" s="1"/>
  <c r="Z105" i="12"/>
  <c r="N106" i="12"/>
  <c r="X106" i="12" s="1"/>
  <c r="Y106" i="12" s="1"/>
  <c r="Z106" i="12"/>
  <c r="N107" i="12"/>
  <c r="X107" i="12" s="1"/>
  <c r="Y107" i="12" s="1"/>
  <c r="Z107" i="12"/>
  <c r="N108" i="12"/>
  <c r="X108" i="12" s="1"/>
  <c r="Y108" i="12" s="1"/>
  <c r="Z108" i="12"/>
  <c r="N109" i="12"/>
  <c r="X109" i="12" s="1"/>
  <c r="Y109" i="12" s="1"/>
  <c r="Z109" i="12"/>
  <c r="N110" i="12"/>
  <c r="X110" i="12" s="1"/>
  <c r="Y110" i="12" s="1"/>
  <c r="Z110" i="12"/>
  <c r="N111" i="12"/>
  <c r="X111" i="12" s="1"/>
  <c r="Y111" i="12" s="1"/>
  <c r="Z111" i="12"/>
  <c r="N112" i="12"/>
  <c r="X112" i="12" s="1"/>
  <c r="Y112" i="12" s="1"/>
  <c r="Z112" i="12"/>
  <c r="N113" i="12"/>
  <c r="X113" i="12" s="1"/>
  <c r="Y113" i="12" s="1"/>
  <c r="Z113" i="12"/>
  <c r="N114" i="12"/>
  <c r="X114" i="12" s="1"/>
  <c r="Y114" i="12" s="1"/>
  <c r="Z114" i="12"/>
  <c r="N115" i="12"/>
  <c r="X115" i="12" s="1"/>
  <c r="Y115" i="12" s="1"/>
  <c r="Z115" i="12"/>
  <c r="N116" i="12"/>
  <c r="X116" i="12" s="1"/>
  <c r="Y116" i="12" s="1"/>
  <c r="Z116" i="12"/>
  <c r="N117" i="12"/>
  <c r="X117" i="12" s="1"/>
  <c r="Y117" i="12" s="1"/>
  <c r="Z117" i="12"/>
  <c r="N118" i="12"/>
  <c r="X118" i="12" s="1"/>
  <c r="Y118" i="12" s="1"/>
  <c r="Z118" i="12"/>
  <c r="N119" i="12"/>
  <c r="X119" i="12" s="1"/>
  <c r="Y119" i="12" s="1"/>
  <c r="Z119" i="12"/>
  <c r="N120" i="12"/>
  <c r="X120" i="12" s="1"/>
  <c r="Y120" i="12" s="1"/>
  <c r="Z120" i="12"/>
  <c r="N121" i="12"/>
  <c r="X121" i="12" s="1"/>
  <c r="Y121" i="12" s="1"/>
  <c r="Z121" i="12"/>
  <c r="N122" i="12"/>
  <c r="X122" i="12" s="1"/>
  <c r="Y122" i="12" s="1"/>
  <c r="Z122" i="12"/>
  <c r="N123" i="12"/>
  <c r="X123" i="12" s="1"/>
  <c r="Y123" i="12" s="1"/>
  <c r="Z123" i="12"/>
  <c r="N124" i="12"/>
  <c r="X124" i="12" s="1"/>
  <c r="Y124" i="12" s="1"/>
  <c r="Z124" i="12"/>
  <c r="N125" i="12"/>
  <c r="X125" i="12" s="1"/>
  <c r="Y125" i="12" s="1"/>
  <c r="Z125" i="12"/>
  <c r="N126" i="12"/>
  <c r="X126" i="12" s="1"/>
  <c r="Y126" i="12" s="1"/>
  <c r="Z126" i="12"/>
  <c r="N127" i="12"/>
  <c r="X127" i="12" s="1"/>
  <c r="Y127" i="12" s="1"/>
  <c r="Z127" i="12"/>
  <c r="N128" i="12"/>
  <c r="X128" i="12" s="1"/>
  <c r="Y128" i="12" s="1"/>
  <c r="Z128" i="12"/>
  <c r="N129" i="12"/>
  <c r="X129" i="12" s="1"/>
  <c r="Y129" i="12" s="1"/>
  <c r="Z129" i="12"/>
  <c r="N130" i="12"/>
  <c r="X130" i="12" s="1"/>
  <c r="Y130" i="12" s="1"/>
  <c r="Z130" i="12"/>
  <c r="N131" i="12"/>
  <c r="X131" i="12" s="1"/>
  <c r="Y131" i="12" s="1"/>
  <c r="Z131" i="12"/>
  <c r="N132" i="12"/>
  <c r="X132" i="12" s="1"/>
  <c r="Y132" i="12" s="1"/>
  <c r="Z132" i="12"/>
  <c r="N133" i="12"/>
  <c r="X133" i="12" s="1"/>
  <c r="Y133" i="12" s="1"/>
  <c r="Z133" i="12"/>
  <c r="N134" i="12"/>
  <c r="X134" i="12" s="1"/>
  <c r="Y134" i="12" s="1"/>
  <c r="Z134" i="12"/>
  <c r="N135" i="12"/>
  <c r="X135" i="12" s="1"/>
  <c r="Y135" i="12" s="1"/>
  <c r="Z135" i="12"/>
  <c r="N136" i="12"/>
  <c r="X136" i="12" s="1"/>
  <c r="Y136" i="12" s="1"/>
  <c r="Z136" i="12"/>
  <c r="N137" i="12"/>
  <c r="X137" i="12" s="1"/>
  <c r="Y137" i="12" s="1"/>
  <c r="Z137" i="12"/>
  <c r="N138" i="12"/>
  <c r="X138" i="12" s="1"/>
  <c r="Y138" i="12" s="1"/>
  <c r="Z138" i="12"/>
  <c r="N139" i="12"/>
  <c r="X139" i="12" s="1"/>
  <c r="Y139" i="12" s="1"/>
  <c r="Z139" i="12"/>
  <c r="N140" i="12"/>
  <c r="X140" i="12" s="1"/>
  <c r="Y140" i="12" s="1"/>
  <c r="Z140" i="12"/>
  <c r="N141" i="12"/>
  <c r="X141" i="12" s="1"/>
  <c r="Y141" i="12" s="1"/>
  <c r="Z141" i="12"/>
  <c r="N142" i="12"/>
  <c r="X142" i="12" s="1"/>
  <c r="Y142" i="12" s="1"/>
  <c r="Z142" i="12"/>
  <c r="N143" i="12"/>
  <c r="X143" i="12" s="1"/>
  <c r="Y143" i="12" s="1"/>
  <c r="Z143" i="12"/>
  <c r="N144" i="12"/>
  <c r="X144" i="12" s="1"/>
  <c r="Y144" i="12" s="1"/>
  <c r="Z144" i="12"/>
  <c r="N145" i="12"/>
  <c r="X145" i="12" s="1"/>
  <c r="Y145" i="12" s="1"/>
  <c r="Z145" i="12"/>
  <c r="N146" i="12"/>
  <c r="X146" i="12" s="1"/>
  <c r="Y146" i="12" s="1"/>
  <c r="Z146" i="12"/>
  <c r="N147" i="12"/>
  <c r="X147" i="12" s="1"/>
  <c r="Y147" i="12" s="1"/>
  <c r="Z147" i="12"/>
  <c r="N148" i="12"/>
  <c r="X148" i="12" s="1"/>
  <c r="Y148" i="12" s="1"/>
  <c r="Z148" i="12"/>
  <c r="N149" i="12"/>
  <c r="X149" i="12" s="1"/>
  <c r="Y149" i="12" s="1"/>
  <c r="Z149" i="12"/>
  <c r="N150" i="12"/>
  <c r="X150" i="12" s="1"/>
  <c r="Y150" i="12" s="1"/>
  <c r="Z150" i="12"/>
  <c r="N151" i="12"/>
  <c r="X151" i="12" s="1"/>
  <c r="Y151" i="12" s="1"/>
  <c r="Z151" i="12"/>
  <c r="N152" i="12"/>
  <c r="X152" i="12" s="1"/>
  <c r="Y152" i="12" s="1"/>
  <c r="Z152" i="12"/>
  <c r="N153" i="12"/>
  <c r="X153" i="12" s="1"/>
  <c r="Y153" i="12" s="1"/>
  <c r="Z153" i="12"/>
  <c r="N154" i="12"/>
  <c r="X154" i="12" s="1"/>
  <c r="Y154" i="12" s="1"/>
  <c r="Z154" i="12"/>
  <c r="N155" i="12"/>
  <c r="X155" i="12" s="1"/>
  <c r="Y155" i="12" s="1"/>
  <c r="Z155" i="12"/>
  <c r="N156" i="12"/>
  <c r="X156" i="12" s="1"/>
  <c r="Y156" i="12" s="1"/>
  <c r="Z156" i="12"/>
  <c r="N157" i="12"/>
  <c r="X157" i="12" s="1"/>
  <c r="Y157" i="12" s="1"/>
  <c r="Z157" i="12"/>
  <c r="N158" i="12"/>
  <c r="X158" i="12" s="1"/>
  <c r="Y158" i="12" s="1"/>
  <c r="Z158" i="12"/>
  <c r="N159" i="12"/>
  <c r="X159" i="12" s="1"/>
  <c r="Y159" i="12" s="1"/>
  <c r="Z159" i="12"/>
  <c r="N160" i="12"/>
  <c r="X160" i="12" s="1"/>
  <c r="Y160" i="12" s="1"/>
  <c r="Z160" i="12"/>
  <c r="N161" i="12"/>
  <c r="X161" i="12" s="1"/>
  <c r="Y161" i="12" s="1"/>
  <c r="Z161" i="12"/>
  <c r="N162" i="12"/>
  <c r="X162" i="12" s="1"/>
  <c r="Y162" i="12" s="1"/>
  <c r="Z162" i="12"/>
  <c r="N163" i="12"/>
  <c r="X163" i="12" s="1"/>
  <c r="Y163" i="12" s="1"/>
  <c r="Z163" i="12"/>
  <c r="N164" i="12"/>
  <c r="X164" i="12" s="1"/>
  <c r="Y164" i="12" s="1"/>
  <c r="Z164" i="12"/>
  <c r="N165" i="12"/>
  <c r="X165" i="12" s="1"/>
  <c r="Y165" i="12" s="1"/>
  <c r="Z165" i="12"/>
  <c r="N166" i="12"/>
  <c r="X166" i="12" s="1"/>
  <c r="Y166" i="12" s="1"/>
  <c r="Z166" i="12"/>
  <c r="N167" i="12"/>
  <c r="X167" i="12" s="1"/>
  <c r="Y167" i="12" s="1"/>
  <c r="Z167" i="12"/>
  <c r="N168" i="12"/>
  <c r="X168" i="12" s="1"/>
  <c r="Y168" i="12" s="1"/>
  <c r="Z168" i="12"/>
  <c r="N169" i="12"/>
  <c r="X169" i="12" s="1"/>
  <c r="Y169" i="12" s="1"/>
  <c r="Z169" i="12"/>
  <c r="N170" i="12"/>
  <c r="X170" i="12" s="1"/>
  <c r="Y170" i="12" s="1"/>
  <c r="Z170" i="12"/>
  <c r="N171" i="12"/>
  <c r="X171" i="12" s="1"/>
  <c r="Y171" i="12" s="1"/>
  <c r="Z171" i="12"/>
  <c r="N172" i="12"/>
  <c r="X172" i="12" s="1"/>
  <c r="Y172" i="12" s="1"/>
  <c r="Z172" i="12"/>
  <c r="N173" i="12"/>
  <c r="X173" i="12" s="1"/>
  <c r="Y173" i="12" s="1"/>
  <c r="Z173" i="12"/>
  <c r="N174" i="12"/>
  <c r="X174" i="12" s="1"/>
  <c r="Y174" i="12" s="1"/>
  <c r="Z174" i="12"/>
  <c r="N175" i="12"/>
  <c r="X175" i="12" s="1"/>
  <c r="Y175" i="12" s="1"/>
  <c r="Z175" i="12"/>
  <c r="N176" i="12"/>
  <c r="X176" i="12" s="1"/>
  <c r="Y176" i="12" s="1"/>
  <c r="Z176" i="12"/>
  <c r="N177" i="12"/>
  <c r="X177" i="12" s="1"/>
  <c r="Y177" i="12" s="1"/>
  <c r="Z177" i="12"/>
  <c r="N178" i="12"/>
  <c r="X178" i="12" s="1"/>
  <c r="Y178" i="12" s="1"/>
  <c r="Z178" i="12"/>
  <c r="N179" i="12"/>
  <c r="X179" i="12" s="1"/>
  <c r="Y179" i="12" s="1"/>
  <c r="Z179" i="12"/>
  <c r="N180" i="12"/>
  <c r="X180" i="12" s="1"/>
  <c r="Y180" i="12" s="1"/>
  <c r="Z180" i="12"/>
  <c r="N181" i="12"/>
  <c r="X181" i="12" s="1"/>
  <c r="Y181" i="12" s="1"/>
  <c r="Z181" i="12"/>
  <c r="N182" i="12"/>
  <c r="X182" i="12" s="1"/>
  <c r="Y182" i="12" s="1"/>
  <c r="Z182" i="12"/>
  <c r="N183" i="12"/>
  <c r="X183" i="12" s="1"/>
  <c r="Y183" i="12" s="1"/>
  <c r="Z183" i="12"/>
  <c r="N184" i="12"/>
  <c r="X184" i="12" s="1"/>
  <c r="Y184" i="12" s="1"/>
  <c r="Z184" i="12"/>
  <c r="N185" i="12"/>
  <c r="X185" i="12" s="1"/>
  <c r="Y185" i="12" s="1"/>
  <c r="Z185" i="12"/>
  <c r="N186" i="12"/>
  <c r="X186" i="12" s="1"/>
  <c r="Y186" i="12" s="1"/>
  <c r="Z186" i="12"/>
  <c r="N187" i="12"/>
  <c r="X187" i="12" s="1"/>
  <c r="Y187" i="12" s="1"/>
  <c r="Z187" i="12"/>
  <c r="N188" i="12"/>
  <c r="X188" i="12" s="1"/>
  <c r="Y188" i="12" s="1"/>
  <c r="Z188" i="12"/>
  <c r="N189" i="12"/>
  <c r="X189" i="12" s="1"/>
  <c r="Y189" i="12" s="1"/>
  <c r="Z189" i="12"/>
  <c r="N190" i="12"/>
  <c r="X190" i="12" s="1"/>
  <c r="Y190" i="12" s="1"/>
  <c r="Z190" i="12"/>
  <c r="N191" i="12"/>
  <c r="X191" i="12" s="1"/>
  <c r="Y191" i="12" s="1"/>
  <c r="Z191" i="12"/>
  <c r="N192" i="12"/>
  <c r="X192" i="12" s="1"/>
  <c r="Y192" i="12" s="1"/>
  <c r="Z192" i="12"/>
  <c r="N193" i="12"/>
  <c r="X193" i="12" s="1"/>
  <c r="Y193" i="12" s="1"/>
  <c r="Z193" i="12"/>
  <c r="N194" i="12"/>
  <c r="X194" i="12" s="1"/>
  <c r="Y194" i="12" s="1"/>
  <c r="Z194" i="12"/>
  <c r="N195" i="12"/>
  <c r="X195" i="12" s="1"/>
  <c r="Y195" i="12" s="1"/>
  <c r="Z195" i="12"/>
  <c r="N196" i="12"/>
  <c r="X196" i="12" s="1"/>
  <c r="Y196" i="12" s="1"/>
  <c r="Z196" i="12"/>
  <c r="N197" i="12"/>
  <c r="X197" i="12" s="1"/>
  <c r="Y197" i="12" s="1"/>
  <c r="Z197" i="12"/>
  <c r="N198" i="12"/>
  <c r="X198" i="12" s="1"/>
  <c r="Y198" i="12" s="1"/>
  <c r="Z198" i="12"/>
  <c r="N199" i="12"/>
  <c r="X199" i="12" s="1"/>
  <c r="Y199" i="12" s="1"/>
  <c r="Z199" i="12"/>
  <c r="N200" i="12"/>
  <c r="X200" i="12" s="1"/>
  <c r="Y200" i="12" s="1"/>
  <c r="Z200" i="12"/>
  <c r="N201" i="12"/>
  <c r="X201" i="12" s="1"/>
  <c r="Y201" i="12" s="1"/>
  <c r="Z201" i="12"/>
  <c r="N202" i="12"/>
  <c r="X202" i="12" s="1"/>
  <c r="Y202" i="12" s="1"/>
  <c r="Z202" i="12"/>
  <c r="N203" i="12"/>
  <c r="X203" i="12" s="1"/>
  <c r="Y203" i="12" s="1"/>
  <c r="Z203" i="12"/>
  <c r="N204" i="12"/>
  <c r="X204" i="12" s="1"/>
  <c r="Y204" i="12" s="1"/>
  <c r="Z204" i="12"/>
  <c r="N205" i="12"/>
  <c r="X205" i="12" s="1"/>
  <c r="Y205" i="12" s="1"/>
  <c r="Z205" i="12"/>
  <c r="N206" i="12"/>
  <c r="X206" i="12" s="1"/>
  <c r="Y206" i="12" s="1"/>
  <c r="Z206" i="12"/>
  <c r="N207" i="12"/>
  <c r="X207" i="12" s="1"/>
  <c r="Y207" i="12" s="1"/>
  <c r="Z207" i="12"/>
  <c r="N208" i="12"/>
  <c r="X208" i="12" s="1"/>
  <c r="Y208" i="12" s="1"/>
  <c r="Z208" i="12"/>
  <c r="N209" i="12"/>
  <c r="X209" i="12" s="1"/>
  <c r="Y209" i="12" s="1"/>
  <c r="Z209" i="12"/>
  <c r="N210" i="12"/>
  <c r="X210" i="12" s="1"/>
  <c r="Y210" i="12" s="1"/>
  <c r="Z210" i="12"/>
  <c r="N211" i="12"/>
  <c r="X211" i="12" s="1"/>
  <c r="Y211" i="12" s="1"/>
  <c r="Z211" i="12"/>
  <c r="N212" i="12"/>
  <c r="X212" i="12" s="1"/>
  <c r="Y212" i="12" s="1"/>
  <c r="Z212" i="12"/>
  <c r="N213" i="12"/>
  <c r="X213" i="12" s="1"/>
  <c r="Y213" i="12" s="1"/>
  <c r="Z213" i="12"/>
  <c r="N214" i="12"/>
  <c r="X214" i="12" s="1"/>
  <c r="Y214" i="12" s="1"/>
  <c r="Z214" i="12"/>
  <c r="N215" i="12"/>
  <c r="X215" i="12" s="1"/>
  <c r="Y215" i="12" s="1"/>
  <c r="Z215" i="12"/>
  <c r="N216" i="12"/>
  <c r="X216" i="12" s="1"/>
  <c r="Y216" i="12" s="1"/>
  <c r="Z216" i="12"/>
  <c r="N217" i="12"/>
  <c r="X217" i="12" s="1"/>
  <c r="Y217" i="12" s="1"/>
  <c r="Z217" i="12"/>
  <c r="N218" i="12"/>
  <c r="X218" i="12" s="1"/>
  <c r="Y218" i="12" s="1"/>
  <c r="Z218" i="12"/>
  <c r="N219" i="12"/>
  <c r="X219" i="12" s="1"/>
  <c r="Y219" i="12" s="1"/>
  <c r="Z219" i="12"/>
  <c r="N220" i="12"/>
  <c r="X220" i="12" s="1"/>
  <c r="Y220" i="12" s="1"/>
  <c r="Z220" i="12"/>
  <c r="N221" i="12"/>
  <c r="X221" i="12" s="1"/>
  <c r="Y221" i="12" s="1"/>
  <c r="Z221" i="12"/>
  <c r="N222" i="12"/>
  <c r="X222" i="12" s="1"/>
  <c r="Y222" i="12" s="1"/>
  <c r="Z222" i="12"/>
  <c r="N223" i="12"/>
  <c r="X223" i="12" s="1"/>
  <c r="Y223" i="12" s="1"/>
  <c r="Z223" i="12"/>
  <c r="N224" i="12"/>
  <c r="X224" i="12" s="1"/>
  <c r="Y224" i="12" s="1"/>
  <c r="Z224" i="12"/>
  <c r="N225" i="12"/>
  <c r="X225" i="12" s="1"/>
  <c r="Y225" i="12" s="1"/>
  <c r="Z225" i="12"/>
  <c r="N226" i="12"/>
  <c r="X226" i="12" s="1"/>
  <c r="Y226" i="12" s="1"/>
  <c r="Z226" i="12"/>
  <c r="N227" i="12"/>
  <c r="X227" i="12" s="1"/>
  <c r="Y227" i="12" s="1"/>
  <c r="Z227" i="12"/>
  <c r="N228" i="12"/>
  <c r="X228" i="12" s="1"/>
  <c r="Y228" i="12" s="1"/>
  <c r="Z228" i="12"/>
  <c r="N229" i="12"/>
  <c r="X229" i="12" s="1"/>
  <c r="Y229" i="12" s="1"/>
  <c r="Z229" i="12"/>
  <c r="N230" i="12"/>
  <c r="X230" i="12" s="1"/>
  <c r="Y230" i="12" s="1"/>
  <c r="Z230" i="12"/>
  <c r="N231" i="12"/>
  <c r="X231" i="12" s="1"/>
  <c r="Y231" i="12" s="1"/>
  <c r="Z231" i="12"/>
  <c r="N232" i="12"/>
  <c r="X232" i="12" s="1"/>
  <c r="Y232" i="12" s="1"/>
  <c r="Z232" i="12"/>
  <c r="N233" i="12"/>
  <c r="X233" i="12" s="1"/>
  <c r="Y233" i="12" s="1"/>
  <c r="Z233" i="12"/>
  <c r="N234" i="12"/>
  <c r="X234" i="12" s="1"/>
  <c r="Y234" i="12" s="1"/>
  <c r="Z234" i="12"/>
  <c r="N235" i="12"/>
  <c r="X235" i="12" s="1"/>
  <c r="Y235" i="12" s="1"/>
  <c r="Z235" i="12"/>
  <c r="N236" i="12"/>
  <c r="X236" i="12" s="1"/>
  <c r="Y236" i="12" s="1"/>
  <c r="Z236" i="12"/>
  <c r="N237" i="12"/>
  <c r="X237" i="12" s="1"/>
  <c r="Y237" i="12" s="1"/>
  <c r="Z237" i="12"/>
  <c r="N238" i="12"/>
  <c r="X238" i="12" s="1"/>
  <c r="Y238" i="12" s="1"/>
  <c r="Z238" i="12"/>
  <c r="N239" i="12"/>
  <c r="X239" i="12" s="1"/>
  <c r="Y239" i="12" s="1"/>
  <c r="Z239" i="12"/>
  <c r="N240" i="12"/>
  <c r="X240" i="12" s="1"/>
  <c r="Y240" i="12" s="1"/>
  <c r="Z240" i="12"/>
  <c r="N241" i="12"/>
  <c r="X241" i="12" s="1"/>
  <c r="Y241" i="12" s="1"/>
  <c r="Z241" i="12"/>
  <c r="N242" i="12"/>
  <c r="X242" i="12" s="1"/>
  <c r="Y242" i="12" s="1"/>
  <c r="Z242" i="12"/>
  <c r="N243" i="12"/>
  <c r="X243" i="12" s="1"/>
  <c r="Y243" i="12" s="1"/>
  <c r="Z243" i="12"/>
  <c r="N244" i="12"/>
  <c r="X244" i="12" s="1"/>
  <c r="Y244" i="12" s="1"/>
  <c r="Z244" i="12"/>
  <c r="N245" i="12"/>
  <c r="X245" i="12" s="1"/>
  <c r="Y245" i="12" s="1"/>
  <c r="Z245" i="12"/>
  <c r="N246" i="12"/>
  <c r="X246" i="12" s="1"/>
  <c r="Y246" i="12" s="1"/>
  <c r="Z246" i="12"/>
  <c r="N247" i="12"/>
  <c r="X247" i="12" s="1"/>
  <c r="Y247" i="12" s="1"/>
  <c r="Z247" i="12"/>
  <c r="N248" i="12"/>
  <c r="X248" i="12" s="1"/>
  <c r="Y248" i="12" s="1"/>
  <c r="Z248" i="12"/>
  <c r="N249" i="12"/>
  <c r="X249" i="12" s="1"/>
  <c r="Y249" i="12" s="1"/>
  <c r="Z249" i="12"/>
  <c r="N250" i="12"/>
  <c r="X250" i="12" s="1"/>
  <c r="Y250" i="12" s="1"/>
  <c r="Z250" i="12"/>
  <c r="N251" i="12"/>
  <c r="X251" i="12" s="1"/>
  <c r="Y251" i="12" s="1"/>
  <c r="Z251" i="12"/>
  <c r="N252" i="12"/>
  <c r="X252" i="12" s="1"/>
  <c r="Y252" i="12" s="1"/>
  <c r="Z252" i="12"/>
  <c r="N253" i="12"/>
  <c r="X253" i="12" s="1"/>
  <c r="Y253" i="12" s="1"/>
  <c r="Z253" i="12"/>
  <c r="N254" i="12"/>
  <c r="X254" i="12" s="1"/>
  <c r="Y254" i="12" s="1"/>
  <c r="Z254" i="12"/>
  <c r="N255" i="12"/>
  <c r="X255" i="12" s="1"/>
  <c r="Y255" i="12" s="1"/>
  <c r="Z255" i="12"/>
  <c r="N256" i="12"/>
  <c r="X256" i="12" s="1"/>
  <c r="Y256" i="12" s="1"/>
  <c r="Z256" i="12"/>
  <c r="N257" i="12"/>
  <c r="X257" i="12" s="1"/>
  <c r="Y257" i="12" s="1"/>
  <c r="Z257" i="12"/>
  <c r="N258" i="12"/>
  <c r="X258" i="12" s="1"/>
  <c r="Y258" i="12" s="1"/>
  <c r="Z258" i="12"/>
  <c r="N259" i="12"/>
  <c r="X259" i="12" s="1"/>
  <c r="Y259" i="12" s="1"/>
  <c r="Z259" i="12"/>
  <c r="N260" i="12"/>
  <c r="X260" i="12" s="1"/>
  <c r="Y260" i="12" s="1"/>
  <c r="Z260" i="12"/>
  <c r="N261" i="12"/>
  <c r="X261" i="12" s="1"/>
  <c r="Y261" i="12" s="1"/>
  <c r="Z261" i="12"/>
  <c r="N262" i="12"/>
  <c r="X262" i="12" s="1"/>
  <c r="Y262" i="12" s="1"/>
  <c r="Z262" i="12"/>
  <c r="N263" i="12"/>
  <c r="X263" i="12" s="1"/>
  <c r="Y263" i="12" s="1"/>
  <c r="Z263" i="12"/>
  <c r="N264" i="12"/>
  <c r="X264" i="12" s="1"/>
  <c r="Y264" i="12" s="1"/>
  <c r="Z264" i="12"/>
  <c r="N265" i="12"/>
  <c r="X265" i="12" s="1"/>
  <c r="Y265" i="12" s="1"/>
  <c r="Z265" i="12"/>
  <c r="N266" i="12"/>
  <c r="X266" i="12" s="1"/>
  <c r="Y266" i="12" s="1"/>
  <c r="Z266" i="12"/>
  <c r="N267" i="12"/>
  <c r="X267" i="12" s="1"/>
  <c r="Y267" i="12" s="1"/>
  <c r="Z267" i="12"/>
  <c r="N268" i="12"/>
  <c r="X268" i="12" s="1"/>
  <c r="Y268" i="12" s="1"/>
  <c r="Z268" i="12"/>
  <c r="N269" i="12"/>
  <c r="X269" i="12" s="1"/>
  <c r="Y269" i="12" s="1"/>
  <c r="Z269" i="12"/>
  <c r="N270" i="12"/>
  <c r="X270" i="12" s="1"/>
  <c r="Y270" i="12" s="1"/>
  <c r="Z270" i="12"/>
  <c r="N271" i="12"/>
  <c r="X271" i="12" s="1"/>
  <c r="Y271" i="12" s="1"/>
  <c r="Z271" i="12"/>
  <c r="N272" i="12"/>
  <c r="X272" i="12" s="1"/>
  <c r="Y272" i="12" s="1"/>
  <c r="Z272" i="12"/>
  <c r="N273" i="12"/>
  <c r="X273" i="12" s="1"/>
  <c r="Y273" i="12" s="1"/>
  <c r="Z273" i="12"/>
  <c r="N274" i="12"/>
  <c r="X274" i="12" s="1"/>
  <c r="Y274" i="12" s="1"/>
  <c r="Z274" i="12"/>
  <c r="N275" i="12"/>
  <c r="X275" i="12" s="1"/>
  <c r="Y275" i="12" s="1"/>
  <c r="Z275" i="12"/>
  <c r="N276" i="12"/>
  <c r="X276" i="12" s="1"/>
  <c r="Y276" i="12" s="1"/>
  <c r="Z276" i="12"/>
  <c r="N277" i="12"/>
  <c r="X277" i="12" s="1"/>
  <c r="Y277" i="12" s="1"/>
  <c r="Z277" i="12"/>
  <c r="N278" i="12"/>
  <c r="X278" i="12" s="1"/>
  <c r="Y278" i="12" s="1"/>
  <c r="Z278" i="12"/>
  <c r="N279" i="12"/>
  <c r="X279" i="12" s="1"/>
  <c r="Y279" i="12" s="1"/>
  <c r="Z279" i="12"/>
  <c r="N280" i="12"/>
  <c r="X280" i="12" s="1"/>
  <c r="Y280" i="12" s="1"/>
  <c r="Z280" i="12"/>
  <c r="N281" i="12"/>
  <c r="X281" i="12" s="1"/>
  <c r="Y281" i="12" s="1"/>
  <c r="Z281" i="12"/>
  <c r="N282" i="12"/>
  <c r="X282" i="12" s="1"/>
  <c r="Y282" i="12" s="1"/>
  <c r="Z282" i="12"/>
  <c r="N283" i="12"/>
  <c r="X283" i="12" s="1"/>
  <c r="Y283" i="12" s="1"/>
  <c r="Z283" i="12"/>
  <c r="N284" i="12"/>
  <c r="X284" i="12" s="1"/>
  <c r="Y284" i="12" s="1"/>
  <c r="Z284" i="12"/>
  <c r="N285" i="12"/>
  <c r="X285" i="12" s="1"/>
  <c r="Y285" i="12" s="1"/>
  <c r="Z285" i="12"/>
  <c r="N286" i="12"/>
  <c r="X286" i="12" s="1"/>
  <c r="Y286" i="12" s="1"/>
  <c r="Z286" i="12"/>
  <c r="N287" i="12"/>
  <c r="X287" i="12" s="1"/>
  <c r="Y287" i="12" s="1"/>
  <c r="Z287" i="12"/>
  <c r="N288" i="12"/>
  <c r="X288" i="12" s="1"/>
  <c r="Y288" i="12" s="1"/>
  <c r="Z288" i="12"/>
  <c r="N289" i="12"/>
  <c r="X289" i="12" s="1"/>
  <c r="Y289" i="12" s="1"/>
  <c r="Z289" i="12"/>
  <c r="N290" i="12"/>
  <c r="X290" i="12" s="1"/>
  <c r="Y290" i="12" s="1"/>
  <c r="Z290" i="12"/>
  <c r="N291" i="12"/>
  <c r="X291" i="12" s="1"/>
  <c r="Y291" i="12" s="1"/>
  <c r="Z291" i="12"/>
  <c r="N292" i="12"/>
  <c r="X292" i="12" s="1"/>
  <c r="Y292" i="12" s="1"/>
  <c r="Z292" i="12"/>
  <c r="N293" i="12"/>
  <c r="X293" i="12" s="1"/>
  <c r="Y293" i="12" s="1"/>
  <c r="Z293" i="12"/>
  <c r="N294" i="12"/>
  <c r="X294" i="12" s="1"/>
  <c r="Y294" i="12" s="1"/>
  <c r="Z294" i="12"/>
  <c r="N295" i="12"/>
  <c r="X295" i="12" s="1"/>
  <c r="Y295" i="12" s="1"/>
  <c r="Z295" i="12"/>
  <c r="N296" i="12"/>
  <c r="X296" i="12" s="1"/>
  <c r="Y296" i="12" s="1"/>
  <c r="Z296" i="12"/>
  <c r="N297" i="12"/>
  <c r="X297" i="12" s="1"/>
  <c r="Y297" i="12" s="1"/>
  <c r="Z297" i="12"/>
  <c r="N298" i="12"/>
  <c r="X298" i="12" s="1"/>
  <c r="Y298" i="12" s="1"/>
  <c r="Z298" i="12"/>
  <c r="Z19" i="12"/>
  <c r="N19" i="12"/>
  <c r="X19" i="12" s="1"/>
  <c r="Y19" i="12" s="1"/>
  <c r="L20" i="12"/>
  <c r="L21" i="12"/>
  <c r="L22" i="12"/>
  <c r="L23" i="12"/>
  <c r="L24" i="12"/>
  <c r="L25" i="12"/>
  <c r="L26" i="12"/>
  <c r="L27" i="12"/>
  <c r="L28" i="12"/>
  <c r="L29" i="12"/>
  <c r="L30" i="12"/>
  <c r="L31" i="12"/>
  <c r="L32" i="12"/>
  <c r="L33" i="12"/>
  <c r="L34" i="12"/>
  <c r="L35" i="12"/>
  <c r="L36" i="12"/>
  <c r="L37" i="12"/>
  <c r="L38" i="12"/>
  <c r="L39" i="12"/>
  <c r="L40" i="12"/>
  <c r="L41" i="12"/>
  <c r="L42" i="12"/>
  <c r="L43" i="12"/>
  <c r="L44" i="12"/>
  <c r="L45" i="12"/>
  <c r="L46" i="12"/>
  <c r="L47" i="12"/>
  <c r="L48" i="12"/>
  <c r="L49" i="12"/>
  <c r="L50" i="12"/>
  <c r="L51" i="12"/>
  <c r="L52" i="12"/>
  <c r="L53" i="12"/>
  <c r="L54" i="12"/>
  <c r="L55" i="12"/>
  <c r="L56" i="12"/>
  <c r="L57" i="12"/>
  <c r="L58" i="12"/>
  <c r="L59" i="12"/>
  <c r="L60" i="12"/>
  <c r="L61" i="12"/>
  <c r="L62" i="12"/>
  <c r="L63" i="12"/>
  <c r="L64" i="12"/>
  <c r="L65" i="12"/>
  <c r="L66" i="12"/>
  <c r="L67" i="12"/>
  <c r="L68" i="12"/>
  <c r="L69" i="12"/>
  <c r="L70" i="12"/>
  <c r="L71" i="12"/>
  <c r="L72" i="12"/>
  <c r="L73" i="12"/>
  <c r="L74" i="12"/>
  <c r="L75" i="12"/>
  <c r="L76" i="12"/>
  <c r="L77" i="12"/>
  <c r="L78" i="12"/>
  <c r="L79" i="12"/>
  <c r="L80" i="12"/>
  <c r="L81" i="12"/>
  <c r="L82" i="12"/>
  <c r="L83" i="12"/>
  <c r="L84" i="12"/>
  <c r="L85" i="12"/>
  <c r="L86" i="12"/>
  <c r="L87" i="12"/>
  <c r="L88" i="12"/>
  <c r="L89" i="12"/>
  <c r="L90" i="12"/>
  <c r="L91" i="12"/>
  <c r="L92" i="12"/>
  <c r="L93" i="12"/>
  <c r="L94" i="12"/>
  <c r="L95" i="12"/>
  <c r="L96" i="12"/>
  <c r="L97" i="12"/>
  <c r="L98" i="12"/>
  <c r="L99" i="12"/>
  <c r="L100" i="12"/>
  <c r="L101" i="12"/>
  <c r="L102" i="12"/>
  <c r="L103" i="12"/>
  <c r="L104" i="12"/>
  <c r="L105" i="12"/>
  <c r="L106" i="12"/>
  <c r="L107" i="12"/>
  <c r="L108" i="12"/>
  <c r="L109" i="12"/>
  <c r="L110" i="12"/>
  <c r="L111" i="12"/>
  <c r="L112" i="12"/>
  <c r="L113" i="12"/>
  <c r="L114" i="12"/>
  <c r="L115" i="12"/>
  <c r="L116" i="12"/>
  <c r="L117" i="12"/>
  <c r="L118" i="12"/>
  <c r="L119" i="12"/>
  <c r="L120" i="12"/>
  <c r="L121" i="12"/>
  <c r="L122" i="12"/>
  <c r="L123" i="12"/>
  <c r="L124" i="12"/>
  <c r="L125" i="12"/>
  <c r="L126" i="12"/>
  <c r="L127" i="12"/>
  <c r="L128" i="12"/>
  <c r="L129" i="12"/>
  <c r="L130" i="12"/>
  <c r="L131" i="12"/>
  <c r="L132" i="12"/>
  <c r="L133" i="12"/>
  <c r="L134" i="12"/>
  <c r="L135" i="12"/>
  <c r="L136" i="12"/>
  <c r="L137" i="12"/>
  <c r="L138" i="12"/>
  <c r="L139" i="12"/>
  <c r="L140" i="12"/>
  <c r="L141" i="12"/>
  <c r="L142" i="12"/>
  <c r="L143" i="12"/>
  <c r="L144" i="12"/>
  <c r="L145" i="12"/>
  <c r="L146" i="12"/>
  <c r="L147" i="12"/>
  <c r="L148" i="12"/>
  <c r="L149" i="12"/>
  <c r="L150" i="12"/>
  <c r="L151" i="12"/>
  <c r="L152" i="12"/>
  <c r="L153" i="12"/>
  <c r="L154" i="12"/>
  <c r="L155" i="12"/>
  <c r="L156" i="12"/>
  <c r="L157" i="12"/>
  <c r="L158" i="12"/>
  <c r="L159" i="12"/>
  <c r="L160" i="12"/>
  <c r="L161" i="12"/>
  <c r="L162" i="12"/>
  <c r="L163" i="12"/>
  <c r="L164" i="12"/>
  <c r="L165" i="12"/>
  <c r="L166" i="12"/>
  <c r="L167" i="12"/>
  <c r="L168" i="12"/>
  <c r="L169" i="12"/>
  <c r="L170" i="12"/>
  <c r="L171" i="12"/>
  <c r="L172" i="12"/>
  <c r="L173" i="12"/>
  <c r="L174" i="12"/>
  <c r="L175" i="12"/>
  <c r="L176" i="12"/>
  <c r="L177" i="12"/>
  <c r="L178" i="12"/>
  <c r="L179" i="12"/>
  <c r="L180" i="12"/>
  <c r="L181" i="12"/>
  <c r="L182" i="12"/>
  <c r="L183" i="12"/>
  <c r="L184" i="12"/>
  <c r="L185" i="12"/>
  <c r="L186" i="12"/>
  <c r="L187" i="12"/>
  <c r="L188" i="12"/>
  <c r="L189" i="12"/>
  <c r="L190" i="12"/>
  <c r="L191" i="12"/>
  <c r="L192" i="12"/>
  <c r="L193" i="12"/>
  <c r="L194" i="12"/>
  <c r="L195" i="12"/>
  <c r="L196" i="12"/>
  <c r="L197" i="12"/>
  <c r="L198" i="12"/>
  <c r="L199" i="12"/>
  <c r="L200" i="12"/>
  <c r="L201" i="12"/>
  <c r="L202" i="12"/>
  <c r="L203" i="12"/>
  <c r="L204" i="12"/>
  <c r="L205" i="12"/>
  <c r="L206" i="12"/>
  <c r="L207" i="12"/>
  <c r="L208" i="12"/>
  <c r="L209" i="12"/>
  <c r="L210" i="12"/>
  <c r="L211" i="12"/>
  <c r="L212" i="12"/>
  <c r="L213" i="12"/>
  <c r="L214" i="12"/>
  <c r="L215" i="12"/>
  <c r="L216" i="12"/>
  <c r="L217" i="12"/>
  <c r="L218" i="12"/>
  <c r="L219" i="12"/>
  <c r="L220" i="12"/>
  <c r="L221" i="12"/>
  <c r="L222" i="12"/>
  <c r="L223" i="12"/>
  <c r="L224" i="12"/>
  <c r="L225" i="12"/>
  <c r="L226" i="12"/>
  <c r="L227" i="12"/>
  <c r="L228" i="12"/>
  <c r="L229" i="12"/>
  <c r="L230" i="12"/>
  <c r="L231" i="12"/>
  <c r="L232" i="12"/>
  <c r="L233" i="12"/>
  <c r="L234" i="12"/>
  <c r="L235" i="12"/>
  <c r="L236" i="12"/>
  <c r="L237" i="12"/>
  <c r="L238" i="12"/>
  <c r="L239" i="12"/>
  <c r="L240" i="12"/>
  <c r="L241" i="12"/>
  <c r="L242" i="12"/>
  <c r="L243" i="12"/>
  <c r="L244" i="12"/>
  <c r="L245" i="12"/>
  <c r="L246" i="12"/>
  <c r="L247" i="12"/>
  <c r="L248" i="12"/>
  <c r="L249" i="12"/>
  <c r="L250" i="12"/>
  <c r="L251" i="12"/>
  <c r="L252" i="12"/>
  <c r="L253" i="12"/>
  <c r="L254" i="12"/>
  <c r="L255" i="12"/>
  <c r="L256" i="12"/>
  <c r="L257" i="12"/>
  <c r="L258" i="12"/>
  <c r="L259" i="12"/>
  <c r="L260" i="12"/>
  <c r="L261" i="12"/>
  <c r="L262" i="12"/>
  <c r="L263" i="12"/>
  <c r="L264" i="12"/>
  <c r="L265" i="12"/>
  <c r="L266" i="12"/>
  <c r="L267" i="12"/>
  <c r="L268" i="12"/>
  <c r="L269" i="12"/>
  <c r="L270" i="12"/>
  <c r="L271" i="12"/>
  <c r="L272" i="12"/>
  <c r="L273" i="12"/>
  <c r="L274" i="12"/>
  <c r="L275" i="12"/>
  <c r="L276" i="12"/>
  <c r="L277" i="12"/>
  <c r="L278" i="12"/>
  <c r="L279" i="12"/>
  <c r="L280" i="12"/>
  <c r="L281" i="12"/>
  <c r="L282" i="12"/>
  <c r="L283" i="12"/>
  <c r="L284" i="12"/>
  <c r="L285" i="12"/>
  <c r="L286" i="12"/>
  <c r="L287" i="12"/>
  <c r="L288" i="12"/>
  <c r="L289" i="12"/>
  <c r="L290" i="12"/>
  <c r="L291" i="12"/>
  <c r="L292" i="12"/>
  <c r="L293" i="12"/>
  <c r="L294" i="12"/>
  <c r="L295" i="12"/>
  <c r="L296" i="12"/>
  <c r="L297" i="12"/>
  <c r="L298" i="12"/>
  <c r="L19" i="12"/>
  <c r="C215" i="12"/>
  <c r="E215" i="12" s="1"/>
  <c r="F215" i="12" s="1"/>
  <c r="I215" i="12" s="1"/>
  <c r="G215" i="12"/>
  <c r="H215" i="12" s="1"/>
  <c r="C216" i="12"/>
  <c r="E216" i="12" s="1"/>
  <c r="G216" i="12"/>
  <c r="H216" i="12" s="1"/>
  <c r="C217" i="12"/>
  <c r="E217" i="12" s="1"/>
  <c r="F217" i="12" s="1"/>
  <c r="G217" i="12"/>
  <c r="H217" i="12" s="1"/>
  <c r="C218" i="12"/>
  <c r="E218" i="12" s="1"/>
  <c r="G218" i="12"/>
  <c r="H218" i="12" s="1"/>
  <c r="C219" i="12"/>
  <c r="E219" i="12" s="1"/>
  <c r="G219" i="12"/>
  <c r="H219" i="12" s="1"/>
  <c r="C220" i="12"/>
  <c r="E220" i="12" s="1"/>
  <c r="G220" i="12"/>
  <c r="H220" i="12" s="1"/>
  <c r="C221" i="12"/>
  <c r="E221" i="12" s="1"/>
  <c r="G221" i="12"/>
  <c r="H221" i="12" s="1"/>
  <c r="C222" i="12"/>
  <c r="E222" i="12" s="1"/>
  <c r="G222" i="12"/>
  <c r="H222" i="12" s="1"/>
  <c r="C223" i="12"/>
  <c r="E223" i="12" s="1"/>
  <c r="G223" i="12"/>
  <c r="H223" i="12" s="1"/>
  <c r="C224" i="12"/>
  <c r="E224" i="12" s="1"/>
  <c r="G224" i="12"/>
  <c r="H224" i="12" s="1"/>
  <c r="C225" i="12"/>
  <c r="E225" i="12" s="1"/>
  <c r="F225" i="12" s="1"/>
  <c r="G225" i="12"/>
  <c r="H225" i="12" s="1"/>
  <c r="C226" i="12"/>
  <c r="E226" i="12" s="1"/>
  <c r="G226" i="12"/>
  <c r="H226" i="12" s="1"/>
  <c r="C227" i="12"/>
  <c r="E227" i="12" s="1"/>
  <c r="G227" i="12"/>
  <c r="H227" i="12" s="1"/>
  <c r="C228" i="12"/>
  <c r="E228" i="12" s="1"/>
  <c r="G228" i="12"/>
  <c r="H228" i="12" s="1"/>
  <c r="C229" i="12"/>
  <c r="E229" i="12" s="1"/>
  <c r="G229" i="12"/>
  <c r="H229" i="12" s="1"/>
  <c r="C230" i="12"/>
  <c r="E230" i="12" s="1"/>
  <c r="G230" i="12"/>
  <c r="H230" i="12" s="1"/>
  <c r="C231" i="12"/>
  <c r="E231" i="12" s="1"/>
  <c r="G231" i="12"/>
  <c r="H231" i="12" s="1"/>
  <c r="C232" i="12"/>
  <c r="E232" i="12" s="1"/>
  <c r="G232" i="12"/>
  <c r="H232" i="12" s="1"/>
  <c r="C233" i="12"/>
  <c r="E233" i="12" s="1"/>
  <c r="F233" i="12" s="1"/>
  <c r="G233" i="12"/>
  <c r="H233" i="12" s="1"/>
  <c r="C234" i="12"/>
  <c r="E234" i="12" s="1"/>
  <c r="G234" i="12"/>
  <c r="H234" i="12" s="1"/>
  <c r="C235" i="12"/>
  <c r="E235" i="12" s="1"/>
  <c r="G235" i="12"/>
  <c r="H235" i="12" s="1"/>
  <c r="C236" i="12"/>
  <c r="E236" i="12" s="1"/>
  <c r="G236" i="12"/>
  <c r="H236" i="12" s="1"/>
  <c r="C237" i="12"/>
  <c r="E237" i="12" s="1"/>
  <c r="G237" i="12"/>
  <c r="H237" i="12" s="1"/>
  <c r="C238" i="12"/>
  <c r="E238" i="12" s="1"/>
  <c r="G238" i="12"/>
  <c r="H238" i="12" s="1"/>
  <c r="C239" i="12"/>
  <c r="E239" i="12" s="1"/>
  <c r="G239" i="12"/>
  <c r="H239" i="12" s="1"/>
  <c r="C240" i="12"/>
  <c r="E240" i="12" s="1"/>
  <c r="G240" i="12"/>
  <c r="H240" i="12" s="1"/>
  <c r="C241" i="12"/>
  <c r="E241" i="12" s="1"/>
  <c r="F241" i="12" s="1"/>
  <c r="G241" i="12"/>
  <c r="H241" i="12" s="1"/>
  <c r="C242" i="12"/>
  <c r="E242" i="12" s="1"/>
  <c r="G242" i="12"/>
  <c r="H242" i="12" s="1"/>
  <c r="C243" i="12"/>
  <c r="E243" i="12" s="1"/>
  <c r="G243" i="12"/>
  <c r="H243" i="12" s="1"/>
  <c r="C244" i="12"/>
  <c r="E244" i="12" s="1"/>
  <c r="G244" i="12"/>
  <c r="H244" i="12" s="1"/>
  <c r="C245" i="12"/>
  <c r="E245" i="12" s="1"/>
  <c r="G245" i="12"/>
  <c r="H245" i="12" s="1"/>
  <c r="C246" i="12"/>
  <c r="E246" i="12" s="1"/>
  <c r="F246" i="12" s="1"/>
  <c r="G246" i="12"/>
  <c r="H246" i="12" s="1"/>
  <c r="C247" i="12"/>
  <c r="E247" i="12" s="1"/>
  <c r="G247" i="12"/>
  <c r="H247" i="12" s="1"/>
  <c r="C248" i="12"/>
  <c r="E248" i="12" s="1"/>
  <c r="F248" i="12" s="1"/>
  <c r="G248" i="12"/>
  <c r="H248" i="12" s="1"/>
  <c r="C249" i="12"/>
  <c r="E249" i="12" s="1"/>
  <c r="G249" i="12"/>
  <c r="H249" i="12" s="1"/>
  <c r="C250" i="12"/>
  <c r="E250" i="12" s="1"/>
  <c r="F250" i="12" s="1"/>
  <c r="G250" i="12"/>
  <c r="H250" i="12" s="1"/>
  <c r="C251" i="12"/>
  <c r="E251" i="12" s="1"/>
  <c r="F251" i="12" s="1"/>
  <c r="G251" i="12"/>
  <c r="H251" i="12" s="1"/>
  <c r="C252" i="12"/>
  <c r="E252" i="12" s="1"/>
  <c r="F252" i="12" s="1"/>
  <c r="G252" i="12"/>
  <c r="H252" i="12" s="1"/>
  <c r="C253" i="12"/>
  <c r="E253" i="12" s="1"/>
  <c r="F253" i="12" s="1"/>
  <c r="G253" i="12"/>
  <c r="H253" i="12" s="1"/>
  <c r="C254" i="12"/>
  <c r="E254" i="12" s="1"/>
  <c r="F254" i="12" s="1"/>
  <c r="G254" i="12"/>
  <c r="H254" i="12" s="1"/>
  <c r="C255" i="12"/>
  <c r="E255" i="12" s="1"/>
  <c r="F255" i="12" s="1"/>
  <c r="G255" i="12"/>
  <c r="H255" i="12" s="1"/>
  <c r="C256" i="12"/>
  <c r="E256" i="12" s="1"/>
  <c r="G256" i="12"/>
  <c r="H256" i="12" s="1"/>
  <c r="C257" i="12"/>
  <c r="E257" i="12" s="1"/>
  <c r="F257" i="12" s="1"/>
  <c r="G257" i="12"/>
  <c r="H257" i="12" s="1"/>
  <c r="C258" i="12"/>
  <c r="E258" i="12" s="1"/>
  <c r="F258" i="12" s="1"/>
  <c r="G258" i="12"/>
  <c r="H258" i="12" s="1"/>
  <c r="C259" i="12"/>
  <c r="E259" i="12" s="1"/>
  <c r="G259" i="12"/>
  <c r="H259" i="12" s="1"/>
  <c r="C260" i="12"/>
  <c r="E260" i="12" s="1"/>
  <c r="G260" i="12"/>
  <c r="H260" i="12" s="1"/>
  <c r="C261" i="12"/>
  <c r="E261" i="12" s="1"/>
  <c r="F261" i="12" s="1"/>
  <c r="G261" i="12"/>
  <c r="H261" i="12" s="1"/>
  <c r="C262" i="12"/>
  <c r="E262" i="12" s="1"/>
  <c r="F262" i="12" s="1"/>
  <c r="G262" i="12"/>
  <c r="H262" i="12" s="1"/>
  <c r="C263" i="12"/>
  <c r="E263" i="12" s="1"/>
  <c r="G263" i="12"/>
  <c r="H263" i="12" s="1"/>
  <c r="C264" i="12"/>
  <c r="E264" i="12" s="1"/>
  <c r="F264" i="12" s="1"/>
  <c r="G264" i="12"/>
  <c r="H264" i="12" s="1"/>
  <c r="C265" i="12"/>
  <c r="E265" i="12" s="1"/>
  <c r="G265" i="12"/>
  <c r="H265" i="12" s="1"/>
  <c r="C266" i="12"/>
  <c r="E266" i="12" s="1"/>
  <c r="F266" i="12" s="1"/>
  <c r="G266" i="12"/>
  <c r="H266" i="12" s="1"/>
  <c r="C267" i="12"/>
  <c r="E267" i="12" s="1"/>
  <c r="G267" i="12"/>
  <c r="H267" i="12" s="1"/>
  <c r="C268" i="12"/>
  <c r="E268" i="12" s="1"/>
  <c r="F268" i="12" s="1"/>
  <c r="G268" i="12"/>
  <c r="H268" i="12" s="1"/>
  <c r="C269" i="12"/>
  <c r="E269" i="12" s="1"/>
  <c r="F269" i="12" s="1"/>
  <c r="G269" i="12"/>
  <c r="H269" i="12" s="1"/>
  <c r="C270" i="12"/>
  <c r="E270" i="12" s="1"/>
  <c r="F270" i="12" s="1"/>
  <c r="G270" i="12"/>
  <c r="H270" i="12" s="1"/>
  <c r="C271" i="12"/>
  <c r="E271" i="12" s="1"/>
  <c r="G271" i="12"/>
  <c r="H271" i="12" s="1"/>
  <c r="C272" i="12"/>
  <c r="E272" i="12" s="1"/>
  <c r="G272" i="12"/>
  <c r="H272" i="12" s="1"/>
  <c r="C273" i="12"/>
  <c r="E273" i="12" s="1"/>
  <c r="F273" i="12" s="1"/>
  <c r="G273" i="12"/>
  <c r="H273" i="12" s="1"/>
  <c r="C274" i="12"/>
  <c r="E274" i="12" s="1"/>
  <c r="G274" i="12"/>
  <c r="H274" i="12" s="1"/>
  <c r="C275" i="12"/>
  <c r="E275" i="12" s="1"/>
  <c r="F275" i="12" s="1"/>
  <c r="G275" i="12"/>
  <c r="H275" i="12" s="1"/>
  <c r="C276" i="12"/>
  <c r="E276" i="12" s="1"/>
  <c r="G276" i="12"/>
  <c r="H276" i="12" s="1"/>
  <c r="C277" i="12"/>
  <c r="E277" i="12" s="1"/>
  <c r="F277" i="12" s="1"/>
  <c r="G277" i="12"/>
  <c r="H277" i="12" s="1"/>
  <c r="C278" i="12"/>
  <c r="E278" i="12" s="1"/>
  <c r="F278" i="12" s="1"/>
  <c r="G278" i="12"/>
  <c r="H278" i="12" s="1"/>
  <c r="C279" i="12"/>
  <c r="E279" i="12" s="1"/>
  <c r="G279" i="12"/>
  <c r="H279" i="12" s="1"/>
  <c r="C280" i="12"/>
  <c r="E280" i="12" s="1"/>
  <c r="F280" i="12" s="1"/>
  <c r="G280" i="12"/>
  <c r="H280" i="12" s="1"/>
  <c r="C281" i="12"/>
  <c r="E281" i="12" s="1"/>
  <c r="G281" i="12"/>
  <c r="H281" i="12" s="1"/>
  <c r="C282" i="12"/>
  <c r="E282" i="12" s="1"/>
  <c r="F282" i="12" s="1"/>
  <c r="G282" i="12"/>
  <c r="H282" i="12" s="1"/>
  <c r="C283" i="12"/>
  <c r="E283" i="12" s="1"/>
  <c r="F283" i="12" s="1"/>
  <c r="G283" i="12"/>
  <c r="H283" i="12" s="1"/>
  <c r="C284" i="12"/>
  <c r="E284" i="12" s="1"/>
  <c r="F284" i="12" s="1"/>
  <c r="G284" i="12"/>
  <c r="H284" i="12" s="1"/>
  <c r="C285" i="12"/>
  <c r="E285" i="12" s="1"/>
  <c r="F285" i="12" s="1"/>
  <c r="G285" i="12"/>
  <c r="H285" i="12" s="1"/>
  <c r="C286" i="12"/>
  <c r="E286" i="12" s="1"/>
  <c r="F286" i="12" s="1"/>
  <c r="G286" i="12"/>
  <c r="H286" i="12" s="1"/>
  <c r="C287" i="12"/>
  <c r="E287" i="12" s="1"/>
  <c r="F287" i="12" s="1"/>
  <c r="G287" i="12"/>
  <c r="H287" i="12" s="1"/>
  <c r="C288" i="12"/>
  <c r="E288" i="12" s="1"/>
  <c r="G288" i="12"/>
  <c r="H288" i="12" s="1"/>
  <c r="C289" i="12"/>
  <c r="E289" i="12" s="1"/>
  <c r="F289" i="12" s="1"/>
  <c r="G289" i="12"/>
  <c r="H289" i="12" s="1"/>
  <c r="C290" i="12"/>
  <c r="E290" i="12" s="1"/>
  <c r="F290" i="12" s="1"/>
  <c r="G290" i="12"/>
  <c r="H290" i="12" s="1"/>
  <c r="C291" i="12"/>
  <c r="E291" i="12" s="1"/>
  <c r="G291" i="12"/>
  <c r="H291" i="12" s="1"/>
  <c r="C292" i="12"/>
  <c r="E292" i="12" s="1"/>
  <c r="G292" i="12"/>
  <c r="H292" i="12" s="1"/>
  <c r="C293" i="12"/>
  <c r="E293" i="12" s="1"/>
  <c r="F293" i="12" s="1"/>
  <c r="G293" i="12"/>
  <c r="H293" i="12" s="1"/>
  <c r="C294" i="12"/>
  <c r="E294" i="12" s="1"/>
  <c r="F294" i="12" s="1"/>
  <c r="G294" i="12"/>
  <c r="H294" i="12" s="1"/>
  <c r="C295" i="12"/>
  <c r="E295" i="12" s="1"/>
  <c r="F295" i="12" s="1"/>
  <c r="G295" i="12"/>
  <c r="H295" i="12" s="1"/>
  <c r="C296" i="12"/>
  <c r="E296" i="12" s="1"/>
  <c r="F296" i="12" s="1"/>
  <c r="G296" i="12"/>
  <c r="H296" i="12" s="1"/>
  <c r="C297" i="12"/>
  <c r="E297" i="12" s="1"/>
  <c r="G297" i="12"/>
  <c r="H297" i="12" s="1"/>
  <c r="C298" i="12"/>
  <c r="E298" i="12" s="1"/>
  <c r="F298" i="12" s="1"/>
  <c r="G298" i="12"/>
  <c r="H298" i="12" s="1"/>
  <c r="C159" i="12"/>
  <c r="E159" i="12" s="1"/>
  <c r="F159" i="12" s="1"/>
  <c r="G159" i="12"/>
  <c r="H159" i="12" s="1"/>
  <c r="C160" i="12"/>
  <c r="E160" i="12" s="1"/>
  <c r="F160" i="12" s="1"/>
  <c r="G160" i="12"/>
  <c r="H160" i="12" s="1"/>
  <c r="C161" i="12"/>
  <c r="E161" i="12" s="1"/>
  <c r="F161" i="12" s="1"/>
  <c r="G161" i="12"/>
  <c r="H161" i="12" s="1"/>
  <c r="C162" i="12"/>
  <c r="E162" i="12" s="1"/>
  <c r="F162" i="12" s="1"/>
  <c r="G162" i="12"/>
  <c r="H162" i="12" s="1"/>
  <c r="C163" i="12"/>
  <c r="E163" i="12" s="1"/>
  <c r="F163" i="12" s="1"/>
  <c r="G163" i="12"/>
  <c r="H163" i="12" s="1"/>
  <c r="C164" i="12"/>
  <c r="E164" i="12" s="1"/>
  <c r="F164" i="12" s="1"/>
  <c r="G164" i="12"/>
  <c r="H164" i="12" s="1"/>
  <c r="C165" i="12"/>
  <c r="E165" i="12" s="1"/>
  <c r="F165" i="12" s="1"/>
  <c r="G165" i="12"/>
  <c r="H165" i="12" s="1"/>
  <c r="C166" i="12"/>
  <c r="E166" i="12" s="1"/>
  <c r="F166" i="12" s="1"/>
  <c r="G166" i="12"/>
  <c r="H166" i="12" s="1"/>
  <c r="C167" i="12"/>
  <c r="E167" i="12" s="1"/>
  <c r="F167" i="12" s="1"/>
  <c r="G167" i="12"/>
  <c r="H167" i="12" s="1"/>
  <c r="C168" i="12"/>
  <c r="E168" i="12" s="1"/>
  <c r="F168" i="12" s="1"/>
  <c r="G168" i="12"/>
  <c r="H168" i="12" s="1"/>
  <c r="C169" i="12"/>
  <c r="E169" i="12" s="1"/>
  <c r="F169" i="12" s="1"/>
  <c r="G169" i="12"/>
  <c r="H169" i="12" s="1"/>
  <c r="C170" i="12"/>
  <c r="E170" i="12" s="1"/>
  <c r="F170" i="12" s="1"/>
  <c r="G170" i="12"/>
  <c r="H170" i="12" s="1"/>
  <c r="C171" i="12"/>
  <c r="E171" i="12" s="1"/>
  <c r="F171" i="12" s="1"/>
  <c r="G171" i="12"/>
  <c r="H171" i="12" s="1"/>
  <c r="C172" i="12"/>
  <c r="E172" i="12" s="1"/>
  <c r="F172" i="12" s="1"/>
  <c r="G172" i="12"/>
  <c r="H172" i="12" s="1"/>
  <c r="C173" i="12"/>
  <c r="E173" i="12" s="1"/>
  <c r="F173" i="12" s="1"/>
  <c r="G173" i="12"/>
  <c r="H173" i="12" s="1"/>
  <c r="C174" i="12"/>
  <c r="E174" i="12" s="1"/>
  <c r="F174" i="12" s="1"/>
  <c r="G174" i="12"/>
  <c r="H174" i="12" s="1"/>
  <c r="C175" i="12"/>
  <c r="E175" i="12" s="1"/>
  <c r="F175" i="12" s="1"/>
  <c r="G175" i="12"/>
  <c r="H175" i="12" s="1"/>
  <c r="C176" i="12"/>
  <c r="E176" i="12" s="1"/>
  <c r="F176" i="12" s="1"/>
  <c r="G176" i="12"/>
  <c r="H176" i="12" s="1"/>
  <c r="C177" i="12"/>
  <c r="E177" i="12" s="1"/>
  <c r="F177" i="12" s="1"/>
  <c r="G177" i="12"/>
  <c r="H177" i="12" s="1"/>
  <c r="C178" i="12"/>
  <c r="E178" i="12" s="1"/>
  <c r="F178" i="12" s="1"/>
  <c r="G178" i="12"/>
  <c r="H178" i="12" s="1"/>
  <c r="C179" i="12"/>
  <c r="E179" i="12" s="1"/>
  <c r="F179" i="12" s="1"/>
  <c r="G179" i="12"/>
  <c r="H179" i="12" s="1"/>
  <c r="C180" i="12"/>
  <c r="E180" i="12" s="1"/>
  <c r="F180" i="12" s="1"/>
  <c r="G180" i="12"/>
  <c r="H180" i="12" s="1"/>
  <c r="C181" i="12"/>
  <c r="E181" i="12" s="1"/>
  <c r="F181" i="12" s="1"/>
  <c r="G181" i="12"/>
  <c r="H181" i="12" s="1"/>
  <c r="C182" i="12"/>
  <c r="E182" i="12" s="1"/>
  <c r="F182" i="12" s="1"/>
  <c r="G182" i="12"/>
  <c r="H182" i="12" s="1"/>
  <c r="C183" i="12"/>
  <c r="E183" i="12" s="1"/>
  <c r="F183" i="12" s="1"/>
  <c r="G183" i="12"/>
  <c r="H183" i="12" s="1"/>
  <c r="C184" i="12"/>
  <c r="E184" i="12" s="1"/>
  <c r="F184" i="12" s="1"/>
  <c r="G184" i="12"/>
  <c r="H184" i="12" s="1"/>
  <c r="C185" i="12"/>
  <c r="E185" i="12" s="1"/>
  <c r="F185" i="12" s="1"/>
  <c r="G185" i="12"/>
  <c r="H185" i="12" s="1"/>
  <c r="C186" i="12"/>
  <c r="E186" i="12" s="1"/>
  <c r="F186" i="12" s="1"/>
  <c r="G186" i="12"/>
  <c r="H186" i="12" s="1"/>
  <c r="C187" i="12"/>
  <c r="E187" i="12" s="1"/>
  <c r="F187" i="12" s="1"/>
  <c r="G187" i="12"/>
  <c r="H187" i="12" s="1"/>
  <c r="C188" i="12"/>
  <c r="E188" i="12" s="1"/>
  <c r="F188" i="12" s="1"/>
  <c r="G188" i="12"/>
  <c r="H188" i="12" s="1"/>
  <c r="C189" i="12"/>
  <c r="E189" i="12" s="1"/>
  <c r="F189" i="12" s="1"/>
  <c r="G189" i="12"/>
  <c r="H189" i="12" s="1"/>
  <c r="C190" i="12"/>
  <c r="E190" i="12" s="1"/>
  <c r="F190" i="12" s="1"/>
  <c r="G190" i="12"/>
  <c r="H190" i="12" s="1"/>
  <c r="C191" i="12"/>
  <c r="E191" i="12" s="1"/>
  <c r="F191" i="12" s="1"/>
  <c r="G191" i="12"/>
  <c r="H191" i="12" s="1"/>
  <c r="C192" i="12"/>
  <c r="E192" i="12" s="1"/>
  <c r="F192" i="12" s="1"/>
  <c r="G192" i="12"/>
  <c r="H192" i="12" s="1"/>
  <c r="C193" i="12"/>
  <c r="E193" i="12" s="1"/>
  <c r="F193" i="12" s="1"/>
  <c r="G193" i="12"/>
  <c r="H193" i="12" s="1"/>
  <c r="C194" i="12"/>
  <c r="E194" i="12" s="1"/>
  <c r="F194" i="12" s="1"/>
  <c r="G194" i="12"/>
  <c r="H194" i="12" s="1"/>
  <c r="C195" i="12"/>
  <c r="E195" i="12" s="1"/>
  <c r="F195" i="12" s="1"/>
  <c r="G195" i="12"/>
  <c r="H195" i="12" s="1"/>
  <c r="C196" i="12"/>
  <c r="E196" i="12" s="1"/>
  <c r="F196" i="12" s="1"/>
  <c r="G196" i="12"/>
  <c r="H196" i="12" s="1"/>
  <c r="C197" i="12"/>
  <c r="E197" i="12" s="1"/>
  <c r="F197" i="12" s="1"/>
  <c r="G197" i="12"/>
  <c r="H197" i="12" s="1"/>
  <c r="C198" i="12"/>
  <c r="E198" i="12" s="1"/>
  <c r="F198" i="12" s="1"/>
  <c r="G198" i="12"/>
  <c r="H198" i="12" s="1"/>
  <c r="C199" i="12"/>
  <c r="E199" i="12" s="1"/>
  <c r="F199" i="12" s="1"/>
  <c r="G199" i="12"/>
  <c r="H199" i="12" s="1"/>
  <c r="C200" i="12"/>
  <c r="E200" i="12" s="1"/>
  <c r="F200" i="12" s="1"/>
  <c r="G200" i="12"/>
  <c r="H200" i="12" s="1"/>
  <c r="C201" i="12"/>
  <c r="E201" i="12" s="1"/>
  <c r="F201" i="12" s="1"/>
  <c r="I201" i="12" s="1"/>
  <c r="G201" i="12"/>
  <c r="H201" i="12" s="1"/>
  <c r="C202" i="12"/>
  <c r="E202" i="12" s="1"/>
  <c r="F202" i="12" s="1"/>
  <c r="G202" i="12"/>
  <c r="H202" i="12" s="1"/>
  <c r="C203" i="12"/>
  <c r="E203" i="12" s="1"/>
  <c r="F203" i="12" s="1"/>
  <c r="G203" i="12"/>
  <c r="H203" i="12" s="1"/>
  <c r="C204" i="12"/>
  <c r="E204" i="12" s="1"/>
  <c r="F204" i="12" s="1"/>
  <c r="G204" i="12"/>
  <c r="H204" i="12" s="1"/>
  <c r="C205" i="12"/>
  <c r="E205" i="12" s="1"/>
  <c r="G205" i="12"/>
  <c r="H205" i="12" s="1"/>
  <c r="C206" i="12"/>
  <c r="E206" i="12" s="1"/>
  <c r="F206" i="12" s="1"/>
  <c r="G206" i="12"/>
  <c r="H206" i="12" s="1"/>
  <c r="C207" i="12"/>
  <c r="E207" i="12" s="1"/>
  <c r="F207" i="12" s="1"/>
  <c r="G207" i="12"/>
  <c r="H207" i="12" s="1"/>
  <c r="C208" i="12"/>
  <c r="E208" i="12" s="1"/>
  <c r="F208" i="12" s="1"/>
  <c r="G208" i="12"/>
  <c r="H208" i="12" s="1"/>
  <c r="C209" i="12"/>
  <c r="E209" i="12" s="1"/>
  <c r="G209" i="12"/>
  <c r="H209" i="12" s="1"/>
  <c r="C210" i="12"/>
  <c r="E210" i="12" s="1"/>
  <c r="F210" i="12" s="1"/>
  <c r="G210" i="12"/>
  <c r="H210" i="12" s="1"/>
  <c r="C211" i="12"/>
  <c r="E211" i="12" s="1"/>
  <c r="F211" i="12" s="1"/>
  <c r="G211" i="12"/>
  <c r="H211" i="12" s="1"/>
  <c r="C212" i="12"/>
  <c r="E212" i="12" s="1"/>
  <c r="F212" i="12" s="1"/>
  <c r="G212" i="12"/>
  <c r="H212" i="12" s="1"/>
  <c r="C213" i="12"/>
  <c r="E213" i="12" s="1"/>
  <c r="G213" i="12"/>
  <c r="H213" i="12" s="1"/>
  <c r="C214" i="12"/>
  <c r="E214" i="12" s="1"/>
  <c r="F214" i="12" s="1"/>
  <c r="G214" i="12"/>
  <c r="H214" i="12" s="1"/>
  <c r="F288" i="12" l="1"/>
  <c r="I288" i="12" s="1"/>
  <c r="J288" i="12" s="1"/>
  <c r="K288" i="12" s="1"/>
  <c r="T288" i="12" s="1"/>
  <c r="F279" i="12"/>
  <c r="I279" i="12" s="1"/>
  <c r="J279" i="12" s="1"/>
  <c r="K279" i="12" s="1"/>
  <c r="T279" i="12" s="1"/>
  <c r="F239" i="12"/>
  <c r="I239" i="12" s="1"/>
  <c r="J239" i="12" s="1"/>
  <c r="K239" i="12" s="1"/>
  <c r="T239" i="12" s="1"/>
  <c r="F237" i="12"/>
  <c r="I237" i="12" s="1"/>
  <c r="J237" i="12" s="1"/>
  <c r="K237" i="12" s="1"/>
  <c r="T237" i="12" s="1"/>
  <c r="F230" i="12"/>
  <c r="I230" i="12" s="1"/>
  <c r="J230" i="12" s="1"/>
  <c r="K230" i="12" s="1"/>
  <c r="T230" i="12" s="1"/>
  <c r="F223" i="12"/>
  <c r="I223" i="12" s="1"/>
  <c r="J223" i="12" s="1"/>
  <c r="K223" i="12" s="1"/>
  <c r="T223" i="12" s="1"/>
  <c r="F221" i="12"/>
  <c r="I221" i="12" s="1"/>
  <c r="J221" i="12" s="1"/>
  <c r="K221" i="12" s="1"/>
  <c r="T221" i="12" s="1"/>
  <c r="I295" i="12"/>
  <c r="J295" i="12" s="1"/>
  <c r="K295" i="12" s="1"/>
  <c r="T295" i="12" s="1"/>
  <c r="F292" i="12"/>
  <c r="I292" i="12" s="1"/>
  <c r="J292" i="12" s="1"/>
  <c r="K292" i="12" s="1"/>
  <c r="T292" i="12" s="1"/>
  <c r="F272" i="12"/>
  <c r="I272" i="12" s="1"/>
  <c r="J272" i="12" s="1"/>
  <c r="K272" i="12" s="1"/>
  <c r="T272" i="12" s="1"/>
  <c r="F263" i="12"/>
  <c r="I263" i="12" s="1"/>
  <c r="J263" i="12" s="1"/>
  <c r="K263" i="12" s="1"/>
  <c r="T263" i="12" s="1"/>
  <c r="F242" i="12"/>
  <c r="I242" i="12" s="1"/>
  <c r="J242" i="12" s="1"/>
  <c r="K242" i="12" s="1"/>
  <c r="T242" i="12" s="1"/>
  <c r="F235" i="12"/>
  <c r="I235" i="12" s="1"/>
  <c r="J235" i="12" s="1"/>
  <c r="K235" i="12" s="1"/>
  <c r="T235" i="12" s="1"/>
  <c r="F226" i="12"/>
  <c r="I226" i="12" s="1"/>
  <c r="J226" i="12" s="1"/>
  <c r="K226" i="12" s="1"/>
  <c r="T226" i="12" s="1"/>
  <c r="F219" i="12"/>
  <c r="I219" i="12" s="1"/>
  <c r="J219" i="12" s="1"/>
  <c r="K219" i="12" s="1"/>
  <c r="T219" i="12" s="1"/>
  <c r="F276" i="12"/>
  <c r="I276" i="12" s="1"/>
  <c r="J276" i="12" s="1"/>
  <c r="K276" i="12" s="1"/>
  <c r="T276" i="12" s="1"/>
  <c r="F256" i="12"/>
  <c r="I256" i="12" s="1"/>
  <c r="J256" i="12" s="1"/>
  <c r="K256" i="12" s="1"/>
  <c r="T256" i="12" s="1"/>
  <c r="F247" i="12"/>
  <c r="I247" i="12" s="1"/>
  <c r="J247" i="12" s="1"/>
  <c r="K247" i="12" s="1"/>
  <c r="T247" i="12" s="1"/>
  <c r="F245" i="12"/>
  <c r="I245" i="12" s="1"/>
  <c r="J245" i="12" s="1"/>
  <c r="K245" i="12" s="1"/>
  <c r="T245" i="12" s="1"/>
  <c r="F238" i="12"/>
  <c r="I238" i="12" s="1"/>
  <c r="J238" i="12" s="1"/>
  <c r="K238" i="12" s="1"/>
  <c r="T238" i="12" s="1"/>
  <c r="F231" i="12"/>
  <c r="I231" i="12" s="1"/>
  <c r="J231" i="12" s="1"/>
  <c r="K231" i="12" s="1"/>
  <c r="T231" i="12" s="1"/>
  <c r="F229" i="12"/>
  <c r="I229" i="12" s="1"/>
  <c r="J229" i="12" s="1"/>
  <c r="K229" i="12" s="1"/>
  <c r="T229" i="12" s="1"/>
  <c r="F222" i="12"/>
  <c r="I222" i="12" s="1"/>
  <c r="J222" i="12" s="1"/>
  <c r="K222" i="12" s="1"/>
  <c r="T222" i="12" s="1"/>
  <c r="F291" i="12"/>
  <c r="I291" i="12" s="1"/>
  <c r="J291" i="12" s="1"/>
  <c r="K291" i="12" s="1"/>
  <c r="T291" i="12" s="1"/>
  <c r="F260" i="12"/>
  <c r="I260" i="12" s="1"/>
  <c r="J260" i="12" s="1"/>
  <c r="K260" i="12" s="1"/>
  <c r="T260" i="12" s="1"/>
  <c r="F243" i="12"/>
  <c r="I243" i="12" s="1"/>
  <c r="J243" i="12" s="1"/>
  <c r="K243" i="12" s="1"/>
  <c r="T243" i="12" s="1"/>
  <c r="F234" i="12"/>
  <c r="I234" i="12" s="1"/>
  <c r="J234" i="12" s="1"/>
  <c r="K234" i="12" s="1"/>
  <c r="T234" i="12" s="1"/>
  <c r="F227" i="12"/>
  <c r="I227" i="12" s="1"/>
  <c r="J227" i="12" s="1"/>
  <c r="K227" i="12" s="1"/>
  <c r="T227" i="12" s="1"/>
  <c r="F218" i="12"/>
  <c r="I218" i="12" s="1"/>
  <c r="J218" i="12" s="1"/>
  <c r="K218" i="12" s="1"/>
  <c r="T218" i="12" s="1"/>
  <c r="I287" i="12"/>
  <c r="J287" i="12" s="1"/>
  <c r="K287" i="12" s="1"/>
  <c r="T287" i="12" s="1"/>
  <c r="I283" i="12"/>
  <c r="J283" i="12" s="1"/>
  <c r="K283" i="12" s="1"/>
  <c r="T283" i="12" s="1"/>
  <c r="I275" i="12"/>
  <c r="J275" i="12" s="1"/>
  <c r="K275" i="12" s="1"/>
  <c r="T275" i="12" s="1"/>
  <c r="F271" i="12"/>
  <c r="I271" i="12" s="1"/>
  <c r="J271" i="12" s="1"/>
  <c r="K271" i="12" s="1"/>
  <c r="T271" i="12" s="1"/>
  <c r="F267" i="12"/>
  <c r="I267" i="12" s="1"/>
  <c r="J267" i="12" s="1"/>
  <c r="K267" i="12" s="1"/>
  <c r="T267" i="12" s="1"/>
  <c r="F259" i="12"/>
  <c r="I259" i="12" s="1"/>
  <c r="J259" i="12" s="1"/>
  <c r="K259" i="12" s="1"/>
  <c r="T259" i="12" s="1"/>
  <c r="I255" i="12"/>
  <c r="J255" i="12" s="1"/>
  <c r="K255" i="12" s="1"/>
  <c r="T255" i="12" s="1"/>
  <c r="I251" i="12"/>
  <c r="J251" i="12" s="1"/>
  <c r="K251" i="12" s="1"/>
  <c r="T251" i="12" s="1"/>
  <c r="I290" i="12"/>
  <c r="J290" i="12" s="1"/>
  <c r="K290" i="12" s="1"/>
  <c r="T290" i="12" s="1"/>
  <c r="I258" i="12"/>
  <c r="J258" i="12" s="1"/>
  <c r="K258" i="12" s="1"/>
  <c r="T258" i="12" s="1"/>
  <c r="F274" i="12"/>
  <c r="I274" i="12" s="1"/>
  <c r="J274" i="12" s="1"/>
  <c r="K274" i="12" s="1"/>
  <c r="T274" i="12" s="1"/>
  <c r="F244" i="12"/>
  <c r="I244" i="12" s="1"/>
  <c r="J244" i="12" s="1"/>
  <c r="K244" i="12" s="1"/>
  <c r="T244" i="12" s="1"/>
  <c r="F236" i="12"/>
  <c r="I236" i="12" s="1"/>
  <c r="J236" i="12" s="1"/>
  <c r="K236" i="12" s="1"/>
  <c r="T236" i="12" s="1"/>
  <c r="F228" i="12"/>
  <c r="I228" i="12" s="1"/>
  <c r="J228" i="12" s="1"/>
  <c r="K228" i="12" s="1"/>
  <c r="T228" i="12" s="1"/>
  <c r="F220" i="12"/>
  <c r="I220" i="12" s="1"/>
  <c r="J220" i="12" s="1"/>
  <c r="K220" i="12" s="1"/>
  <c r="T220" i="12" s="1"/>
  <c r="I293" i="12"/>
  <c r="J293" i="12" s="1"/>
  <c r="K293" i="12" s="1"/>
  <c r="T293" i="12" s="1"/>
  <c r="I286" i="12"/>
  <c r="J286" i="12" s="1"/>
  <c r="K286" i="12" s="1"/>
  <c r="T286" i="12" s="1"/>
  <c r="I277" i="12"/>
  <c r="J277" i="12" s="1"/>
  <c r="K277" i="12" s="1"/>
  <c r="T277" i="12" s="1"/>
  <c r="I270" i="12"/>
  <c r="J270" i="12" s="1"/>
  <c r="K270" i="12" s="1"/>
  <c r="T270" i="12" s="1"/>
  <c r="I261" i="12"/>
  <c r="J261" i="12" s="1"/>
  <c r="K261" i="12" s="1"/>
  <c r="T261" i="12" s="1"/>
  <c r="I254" i="12"/>
  <c r="J254" i="12" s="1"/>
  <c r="K254" i="12" s="1"/>
  <c r="T254" i="12" s="1"/>
  <c r="J215" i="12"/>
  <c r="K215" i="12" s="1"/>
  <c r="T215" i="12" s="1"/>
  <c r="I298" i="12"/>
  <c r="J298" i="12" s="1"/>
  <c r="K298" i="12" s="1"/>
  <c r="T298" i="12" s="1"/>
  <c r="I289" i="12"/>
  <c r="J289" i="12" s="1"/>
  <c r="K289" i="12" s="1"/>
  <c r="T289" i="12" s="1"/>
  <c r="I284" i="12"/>
  <c r="J284" i="12" s="1"/>
  <c r="K284" i="12" s="1"/>
  <c r="T284" i="12" s="1"/>
  <c r="I282" i="12"/>
  <c r="J282" i="12" s="1"/>
  <c r="K282" i="12" s="1"/>
  <c r="T282" i="12" s="1"/>
  <c r="I273" i="12"/>
  <c r="J273" i="12" s="1"/>
  <c r="K273" i="12" s="1"/>
  <c r="T273" i="12" s="1"/>
  <c r="I268" i="12"/>
  <c r="J268" i="12" s="1"/>
  <c r="K268" i="12" s="1"/>
  <c r="T268" i="12" s="1"/>
  <c r="I266" i="12"/>
  <c r="J266" i="12" s="1"/>
  <c r="K266" i="12" s="1"/>
  <c r="T266" i="12" s="1"/>
  <c r="I257" i="12"/>
  <c r="J257" i="12" s="1"/>
  <c r="K257" i="12" s="1"/>
  <c r="T257" i="12" s="1"/>
  <c r="I252" i="12"/>
  <c r="J252" i="12" s="1"/>
  <c r="K252" i="12" s="1"/>
  <c r="T252" i="12" s="1"/>
  <c r="I250" i="12"/>
  <c r="J250" i="12" s="1"/>
  <c r="K250" i="12" s="1"/>
  <c r="T250" i="12" s="1"/>
  <c r="I241" i="12"/>
  <c r="J241" i="12" s="1"/>
  <c r="K241" i="12" s="1"/>
  <c r="T241" i="12" s="1"/>
  <c r="F240" i="12"/>
  <c r="I240" i="12" s="1"/>
  <c r="J240" i="12" s="1"/>
  <c r="K240" i="12" s="1"/>
  <c r="T240" i="12" s="1"/>
  <c r="I233" i="12"/>
  <c r="J233" i="12" s="1"/>
  <c r="K233" i="12" s="1"/>
  <c r="T233" i="12" s="1"/>
  <c r="F232" i="12"/>
  <c r="I232" i="12" s="1"/>
  <c r="J232" i="12" s="1"/>
  <c r="K232" i="12" s="1"/>
  <c r="T232" i="12" s="1"/>
  <c r="I225" i="12"/>
  <c r="J225" i="12" s="1"/>
  <c r="K225" i="12" s="1"/>
  <c r="T225" i="12" s="1"/>
  <c r="F224" i="12"/>
  <c r="I224" i="12" s="1"/>
  <c r="J224" i="12" s="1"/>
  <c r="K224" i="12" s="1"/>
  <c r="T224" i="12" s="1"/>
  <c r="I217" i="12"/>
  <c r="J217" i="12" s="1"/>
  <c r="K217" i="12" s="1"/>
  <c r="T217" i="12" s="1"/>
  <c r="F216" i="12"/>
  <c r="I216" i="12" s="1"/>
  <c r="J216" i="12" s="1"/>
  <c r="K216" i="12" s="1"/>
  <c r="T216" i="12" s="1"/>
  <c r="F297" i="12"/>
  <c r="I297" i="12" s="1"/>
  <c r="J297" i="12" s="1"/>
  <c r="K297" i="12" s="1"/>
  <c r="T297" i="12" s="1"/>
  <c r="I296" i="12"/>
  <c r="J296" i="12" s="1"/>
  <c r="K296" i="12" s="1"/>
  <c r="T296" i="12" s="1"/>
  <c r="I294" i="12"/>
  <c r="J294" i="12" s="1"/>
  <c r="K294" i="12" s="1"/>
  <c r="T294" i="12" s="1"/>
  <c r="I285" i="12"/>
  <c r="J285" i="12" s="1"/>
  <c r="K285" i="12" s="1"/>
  <c r="T285" i="12" s="1"/>
  <c r="F281" i="12"/>
  <c r="I281" i="12" s="1"/>
  <c r="J281" i="12" s="1"/>
  <c r="K281" i="12" s="1"/>
  <c r="T281" i="12" s="1"/>
  <c r="I280" i="12"/>
  <c r="J280" i="12" s="1"/>
  <c r="K280" i="12" s="1"/>
  <c r="T280" i="12" s="1"/>
  <c r="I278" i="12"/>
  <c r="J278" i="12" s="1"/>
  <c r="K278" i="12" s="1"/>
  <c r="T278" i="12" s="1"/>
  <c r="I269" i="12"/>
  <c r="J269" i="12" s="1"/>
  <c r="K269" i="12" s="1"/>
  <c r="T269" i="12" s="1"/>
  <c r="F265" i="12"/>
  <c r="I265" i="12" s="1"/>
  <c r="J265" i="12" s="1"/>
  <c r="K265" i="12" s="1"/>
  <c r="T265" i="12" s="1"/>
  <c r="I264" i="12"/>
  <c r="J264" i="12" s="1"/>
  <c r="K264" i="12" s="1"/>
  <c r="T264" i="12" s="1"/>
  <c r="I262" i="12"/>
  <c r="J262" i="12" s="1"/>
  <c r="K262" i="12" s="1"/>
  <c r="T262" i="12" s="1"/>
  <c r="I253" i="12"/>
  <c r="J253" i="12" s="1"/>
  <c r="K253" i="12" s="1"/>
  <c r="T253" i="12" s="1"/>
  <c r="F249" i="12"/>
  <c r="I249" i="12" s="1"/>
  <c r="J249" i="12" s="1"/>
  <c r="K249" i="12" s="1"/>
  <c r="T249" i="12" s="1"/>
  <c r="I248" i="12"/>
  <c r="J248" i="12" s="1"/>
  <c r="K248" i="12" s="1"/>
  <c r="T248" i="12" s="1"/>
  <c r="I246" i="12"/>
  <c r="J246" i="12" s="1"/>
  <c r="K246" i="12" s="1"/>
  <c r="T246" i="12" s="1"/>
  <c r="J201" i="12"/>
  <c r="K201" i="12" s="1"/>
  <c r="T201" i="12" s="1"/>
  <c r="I208" i="12"/>
  <c r="J208" i="12" s="1"/>
  <c r="K208" i="12" s="1"/>
  <c r="T208" i="12" s="1"/>
  <c r="I211" i="12"/>
  <c r="J211" i="12" s="1"/>
  <c r="K211" i="12" s="1"/>
  <c r="T211" i="12" s="1"/>
  <c r="I207" i="12"/>
  <c r="J207" i="12" s="1"/>
  <c r="K207" i="12" s="1"/>
  <c r="T207" i="12" s="1"/>
  <c r="I203" i="12"/>
  <c r="J203" i="12" s="1"/>
  <c r="K203" i="12" s="1"/>
  <c r="T203" i="12" s="1"/>
  <c r="I214" i="12"/>
  <c r="J214" i="12" s="1"/>
  <c r="K214" i="12" s="1"/>
  <c r="T214" i="12" s="1"/>
  <c r="F213" i="12"/>
  <c r="I213" i="12" s="1"/>
  <c r="J213" i="12" s="1"/>
  <c r="K213" i="12" s="1"/>
  <c r="T213" i="12" s="1"/>
  <c r="I210" i="12"/>
  <c r="J210" i="12" s="1"/>
  <c r="K210" i="12" s="1"/>
  <c r="T210" i="12" s="1"/>
  <c r="F209" i="12"/>
  <c r="I209" i="12" s="1"/>
  <c r="J209" i="12" s="1"/>
  <c r="K209" i="12" s="1"/>
  <c r="T209" i="12" s="1"/>
  <c r="I206" i="12"/>
  <c r="J206" i="12" s="1"/>
  <c r="K206" i="12" s="1"/>
  <c r="T206" i="12" s="1"/>
  <c r="F205" i="12"/>
  <c r="I205" i="12" s="1"/>
  <c r="J205" i="12" s="1"/>
  <c r="K205" i="12" s="1"/>
  <c r="T205" i="12" s="1"/>
  <c r="I202" i="12"/>
  <c r="J202" i="12" s="1"/>
  <c r="K202" i="12" s="1"/>
  <c r="T202" i="12" s="1"/>
  <c r="I212" i="12"/>
  <c r="J212" i="12" s="1"/>
  <c r="K212" i="12" s="1"/>
  <c r="T212" i="12" s="1"/>
  <c r="I204" i="12"/>
  <c r="J204" i="12" s="1"/>
  <c r="K204" i="12" s="1"/>
  <c r="T204" i="12" s="1"/>
  <c r="I200" i="12"/>
  <c r="J200" i="12" s="1"/>
  <c r="K200" i="12" s="1"/>
  <c r="T200" i="12" s="1"/>
  <c r="I198" i="12"/>
  <c r="J198" i="12" s="1"/>
  <c r="K198" i="12" s="1"/>
  <c r="T198" i="12" s="1"/>
  <c r="I196" i="12"/>
  <c r="J196" i="12" s="1"/>
  <c r="K196" i="12" s="1"/>
  <c r="T196" i="12" s="1"/>
  <c r="I194" i="12"/>
  <c r="J194" i="12" s="1"/>
  <c r="K194" i="12" s="1"/>
  <c r="T194" i="12" s="1"/>
  <c r="I192" i="12"/>
  <c r="J192" i="12" s="1"/>
  <c r="K192" i="12" s="1"/>
  <c r="T192" i="12" s="1"/>
  <c r="I190" i="12"/>
  <c r="J190" i="12" s="1"/>
  <c r="K190" i="12" s="1"/>
  <c r="T190" i="12" s="1"/>
  <c r="I188" i="12"/>
  <c r="J188" i="12" s="1"/>
  <c r="K188" i="12" s="1"/>
  <c r="T188" i="12" s="1"/>
  <c r="I186" i="12"/>
  <c r="J186" i="12" s="1"/>
  <c r="K186" i="12" s="1"/>
  <c r="T186" i="12" s="1"/>
  <c r="I184" i="12"/>
  <c r="J184" i="12" s="1"/>
  <c r="K184" i="12" s="1"/>
  <c r="T184" i="12" s="1"/>
  <c r="I182" i="12"/>
  <c r="J182" i="12" s="1"/>
  <c r="K182" i="12" s="1"/>
  <c r="T182" i="12" s="1"/>
  <c r="I180" i="12"/>
  <c r="J180" i="12" s="1"/>
  <c r="K180" i="12" s="1"/>
  <c r="T180" i="12" s="1"/>
  <c r="I178" i="12"/>
  <c r="J178" i="12" s="1"/>
  <c r="K178" i="12" s="1"/>
  <c r="T178" i="12" s="1"/>
  <c r="I176" i="12"/>
  <c r="J176" i="12" s="1"/>
  <c r="K176" i="12" s="1"/>
  <c r="T176" i="12" s="1"/>
  <c r="I174" i="12"/>
  <c r="J174" i="12" s="1"/>
  <c r="K174" i="12" s="1"/>
  <c r="T174" i="12" s="1"/>
  <c r="I172" i="12"/>
  <c r="J172" i="12" s="1"/>
  <c r="K172" i="12" s="1"/>
  <c r="T172" i="12" s="1"/>
  <c r="I170" i="12"/>
  <c r="J170" i="12" s="1"/>
  <c r="K170" i="12" s="1"/>
  <c r="T170" i="12" s="1"/>
  <c r="I168" i="12"/>
  <c r="J168" i="12" s="1"/>
  <c r="K168" i="12" s="1"/>
  <c r="T168" i="12" s="1"/>
  <c r="I166" i="12"/>
  <c r="J166" i="12" s="1"/>
  <c r="K166" i="12" s="1"/>
  <c r="T166" i="12" s="1"/>
  <c r="I164" i="12"/>
  <c r="J164" i="12" s="1"/>
  <c r="K164" i="12" s="1"/>
  <c r="T164" i="12" s="1"/>
  <c r="I162" i="12"/>
  <c r="J162" i="12" s="1"/>
  <c r="K162" i="12" s="1"/>
  <c r="T162" i="12" s="1"/>
  <c r="I160" i="12"/>
  <c r="J160" i="12" s="1"/>
  <c r="K160" i="12" s="1"/>
  <c r="T160" i="12" s="1"/>
  <c r="I199" i="12"/>
  <c r="J199" i="12" s="1"/>
  <c r="K199" i="12" s="1"/>
  <c r="T199" i="12" s="1"/>
  <c r="I197" i="12"/>
  <c r="J197" i="12" s="1"/>
  <c r="K197" i="12" s="1"/>
  <c r="T197" i="12" s="1"/>
  <c r="I195" i="12"/>
  <c r="J195" i="12" s="1"/>
  <c r="K195" i="12" s="1"/>
  <c r="T195" i="12" s="1"/>
  <c r="I193" i="12"/>
  <c r="J193" i="12" s="1"/>
  <c r="K193" i="12" s="1"/>
  <c r="T193" i="12" s="1"/>
  <c r="I191" i="12"/>
  <c r="J191" i="12" s="1"/>
  <c r="K191" i="12" s="1"/>
  <c r="T191" i="12" s="1"/>
  <c r="I189" i="12"/>
  <c r="J189" i="12" s="1"/>
  <c r="K189" i="12" s="1"/>
  <c r="T189" i="12" s="1"/>
  <c r="I187" i="12"/>
  <c r="J187" i="12" s="1"/>
  <c r="K187" i="12" s="1"/>
  <c r="T187" i="12" s="1"/>
  <c r="I185" i="12"/>
  <c r="J185" i="12" s="1"/>
  <c r="K185" i="12" s="1"/>
  <c r="T185" i="12" s="1"/>
  <c r="I183" i="12"/>
  <c r="J183" i="12" s="1"/>
  <c r="K183" i="12" s="1"/>
  <c r="T183" i="12" s="1"/>
  <c r="I181" i="12"/>
  <c r="J181" i="12" s="1"/>
  <c r="K181" i="12" s="1"/>
  <c r="T181" i="12" s="1"/>
  <c r="I179" i="12"/>
  <c r="J179" i="12" s="1"/>
  <c r="K179" i="12" s="1"/>
  <c r="T179" i="12" s="1"/>
  <c r="I177" i="12"/>
  <c r="J177" i="12" s="1"/>
  <c r="K177" i="12" s="1"/>
  <c r="T177" i="12" s="1"/>
  <c r="I175" i="12"/>
  <c r="J175" i="12" s="1"/>
  <c r="K175" i="12" s="1"/>
  <c r="T175" i="12" s="1"/>
  <c r="I173" i="12"/>
  <c r="J173" i="12" s="1"/>
  <c r="K173" i="12" s="1"/>
  <c r="T173" i="12" s="1"/>
  <c r="I171" i="12"/>
  <c r="J171" i="12" s="1"/>
  <c r="K171" i="12" s="1"/>
  <c r="T171" i="12" s="1"/>
  <c r="I169" i="12"/>
  <c r="J169" i="12" s="1"/>
  <c r="K169" i="12" s="1"/>
  <c r="T169" i="12" s="1"/>
  <c r="I167" i="12"/>
  <c r="J167" i="12" s="1"/>
  <c r="K167" i="12" s="1"/>
  <c r="T167" i="12" s="1"/>
  <c r="I165" i="12"/>
  <c r="J165" i="12" s="1"/>
  <c r="K165" i="12" s="1"/>
  <c r="T165" i="12" s="1"/>
  <c r="I163" i="12"/>
  <c r="J163" i="12" s="1"/>
  <c r="K163" i="12" s="1"/>
  <c r="T163" i="12" s="1"/>
  <c r="I161" i="12"/>
  <c r="J161" i="12" s="1"/>
  <c r="K161" i="12" s="1"/>
  <c r="T161" i="12" s="1"/>
  <c r="I159" i="12"/>
  <c r="J159" i="12" s="1"/>
  <c r="K159" i="12" s="1"/>
  <c r="T159" i="12" s="1"/>
  <c r="N9" i="3"/>
  <c r="H35" i="3"/>
  <c r="N11" i="3"/>
  <c r="N10" i="3"/>
  <c r="N12" i="3"/>
  <c r="M167" i="12" l="1"/>
  <c r="Q167" i="12" s="1"/>
  <c r="M183" i="12"/>
  <c r="Q183" i="12" s="1"/>
  <c r="M174" i="12"/>
  <c r="Q174" i="12" s="1"/>
  <c r="M202" i="12"/>
  <c r="Q202" i="12" s="1"/>
  <c r="M262" i="12"/>
  <c r="Q262" i="12" s="1"/>
  <c r="M217" i="12"/>
  <c r="Q217" i="12" s="1"/>
  <c r="M273" i="12"/>
  <c r="Q273" i="12" s="1"/>
  <c r="M220" i="12"/>
  <c r="Q220" i="12" s="1"/>
  <c r="M255" i="12"/>
  <c r="Q255" i="12" s="1"/>
  <c r="M238" i="12"/>
  <c r="Q238" i="12" s="1"/>
  <c r="M242" i="12"/>
  <c r="Q242" i="12" s="1"/>
  <c r="M169" i="12"/>
  <c r="Q169" i="12" s="1"/>
  <c r="M193" i="12"/>
  <c r="Q193" i="12" s="1"/>
  <c r="M160" i="12"/>
  <c r="Q160" i="12" s="1"/>
  <c r="M168" i="12"/>
  <c r="Q168" i="12" s="1"/>
  <c r="M176" i="12"/>
  <c r="Q176" i="12" s="1"/>
  <c r="M184" i="12"/>
  <c r="Q184" i="12" s="1"/>
  <c r="M192" i="12"/>
  <c r="Q192" i="12" s="1"/>
  <c r="M200" i="12"/>
  <c r="Q200" i="12" s="1"/>
  <c r="M205" i="12"/>
  <c r="Q205" i="12" s="1"/>
  <c r="M213" i="12"/>
  <c r="Q213" i="12" s="1"/>
  <c r="M211" i="12"/>
  <c r="Q211" i="12" s="1"/>
  <c r="M248" i="12"/>
  <c r="Q248" i="12" s="1"/>
  <c r="M264" i="12"/>
  <c r="Q264" i="12" s="1"/>
  <c r="M280" i="12"/>
  <c r="Q280" i="12" s="1"/>
  <c r="M296" i="12"/>
  <c r="Q296" i="12" s="1"/>
  <c r="M224" i="12"/>
  <c r="Q224" i="12" s="1"/>
  <c r="M240" i="12"/>
  <c r="Q240" i="12" s="1"/>
  <c r="M257" i="12"/>
  <c r="Q257" i="12"/>
  <c r="M282" i="12"/>
  <c r="Q282" i="12" s="1"/>
  <c r="M215" i="12"/>
  <c r="Q215" i="12" s="1"/>
  <c r="M277" i="12"/>
  <c r="Q277" i="12" s="1"/>
  <c r="M228" i="12"/>
  <c r="Q228" i="12" s="1"/>
  <c r="M258" i="12"/>
  <c r="Q258" i="12" s="1"/>
  <c r="M259" i="12"/>
  <c r="Q259" i="12" s="1"/>
  <c r="M283" i="12"/>
  <c r="Q283" i="12" s="1"/>
  <c r="M234" i="12"/>
  <c r="Q234" i="12" s="1"/>
  <c r="M222" i="12"/>
  <c r="Q222" i="12" s="1"/>
  <c r="M245" i="12"/>
  <c r="Q245" i="12" s="1"/>
  <c r="M219" i="12"/>
  <c r="Q219" i="12" s="1"/>
  <c r="M263" i="12"/>
  <c r="Q263" i="12" s="1"/>
  <c r="M221" i="12"/>
  <c r="Q221" i="12" s="1"/>
  <c r="M239" i="12"/>
  <c r="Q239" i="12" s="1"/>
  <c r="M159" i="12"/>
  <c r="Q159" i="12" s="1"/>
  <c r="M191" i="12"/>
  <c r="Q191" i="12" s="1"/>
  <c r="M182" i="12"/>
  <c r="Q182" i="12" s="1"/>
  <c r="M198" i="12"/>
  <c r="Q198" i="12" s="1"/>
  <c r="M246" i="12"/>
  <c r="Q246" i="12" s="1"/>
  <c r="M294" i="12"/>
  <c r="Q294" i="12" s="1"/>
  <c r="M252" i="12"/>
  <c r="Q252" i="12" s="1"/>
  <c r="M270" i="12"/>
  <c r="Q270" i="12" s="1"/>
  <c r="M227" i="12"/>
  <c r="Q227" i="12" s="1"/>
  <c r="M276" i="12"/>
  <c r="Q276" i="12" s="1"/>
  <c r="M237" i="12"/>
  <c r="Q237" i="12" s="1"/>
  <c r="M185" i="12"/>
  <c r="Q185" i="12" s="1"/>
  <c r="M171" i="12"/>
  <c r="Q171" i="12" s="1"/>
  <c r="M195" i="12"/>
  <c r="Q195" i="12" s="1"/>
  <c r="M170" i="12"/>
  <c r="Q170" i="12" s="1"/>
  <c r="M186" i="12"/>
  <c r="Q186" i="12" s="1"/>
  <c r="M194" i="12"/>
  <c r="Q194" i="12" s="1"/>
  <c r="M204" i="12"/>
  <c r="Q204" i="12" s="1"/>
  <c r="M206" i="12"/>
  <c r="Q206" i="12" s="1"/>
  <c r="M214" i="12"/>
  <c r="Q214" i="12" s="1"/>
  <c r="M208" i="12"/>
  <c r="Q208" i="12" s="1"/>
  <c r="M249" i="12"/>
  <c r="Q249" i="12" s="1"/>
  <c r="M265" i="12"/>
  <c r="Q265" i="12" s="1"/>
  <c r="M281" i="12"/>
  <c r="Q281" i="12" s="1"/>
  <c r="M297" i="12"/>
  <c r="Q297" i="12" s="1"/>
  <c r="M225" i="12"/>
  <c r="Q225" i="12" s="1"/>
  <c r="M241" i="12"/>
  <c r="Q241" i="12" s="1"/>
  <c r="M266" i="12"/>
  <c r="Q266" i="12" s="1"/>
  <c r="M284" i="12"/>
  <c r="Q284" i="12" s="1"/>
  <c r="M254" i="12"/>
  <c r="Q254" i="12" s="1"/>
  <c r="M286" i="12"/>
  <c r="Q286" i="12"/>
  <c r="M236" i="12"/>
  <c r="Q236" i="12" s="1"/>
  <c r="M290" i="12"/>
  <c r="Q290" i="12" s="1"/>
  <c r="M267" i="12"/>
  <c r="Q267" i="12" s="1"/>
  <c r="M287" i="12"/>
  <c r="Q287" i="12" s="1"/>
  <c r="M243" i="12"/>
  <c r="Q243" i="12" s="1"/>
  <c r="M229" i="12"/>
  <c r="Q229" i="12" s="1"/>
  <c r="M247" i="12"/>
  <c r="Q247" i="12" s="1"/>
  <c r="M226" i="12"/>
  <c r="Q226" i="12" s="1"/>
  <c r="M272" i="12"/>
  <c r="Q272" i="12" s="1"/>
  <c r="M223" i="12"/>
  <c r="Q223" i="12" s="1"/>
  <c r="M279" i="12"/>
  <c r="Q279" i="12" s="1"/>
  <c r="M175" i="12"/>
  <c r="Q175" i="12" s="1"/>
  <c r="M199" i="12"/>
  <c r="Q199" i="12" s="1"/>
  <c r="M166" i="12"/>
  <c r="Q166" i="12" s="1"/>
  <c r="M190" i="12"/>
  <c r="Q190" i="12" s="1"/>
  <c r="M210" i="12"/>
  <c r="Q210" i="12" s="1"/>
  <c r="M207" i="12"/>
  <c r="Q207" i="12" s="1"/>
  <c r="M278" i="12"/>
  <c r="Q278" i="12" s="1"/>
  <c r="M233" i="12"/>
  <c r="Q233" i="12" s="1"/>
  <c r="M298" i="12"/>
  <c r="Q298" i="12" s="1"/>
  <c r="M274" i="12"/>
  <c r="Q274" i="12" s="1"/>
  <c r="M275" i="12"/>
  <c r="Q275" i="12" s="1"/>
  <c r="M291" i="12"/>
  <c r="Q291" i="12" s="1"/>
  <c r="M295" i="12"/>
  <c r="Q295" i="12" s="1"/>
  <c r="M161" i="12"/>
  <c r="Q161" i="12" s="1"/>
  <c r="M177" i="12"/>
  <c r="Q177" i="12" s="1"/>
  <c r="M163" i="12"/>
  <c r="Q163" i="12" s="1"/>
  <c r="M179" i="12"/>
  <c r="Q179" i="12" s="1"/>
  <c r="M187" i="12"/>
  <c r="Q187" i="12" s="1"/>
  <c r="M162" i="12"/>
  <c r="Q162" i="12" s="1"/>
  <c r="M178" i="12"/>
  <c r="Q178" i="12" s="1"/>
  <c r="M165" i="12"/>
  <c r="Q165" i="12" s="1"/>
  <c r="M173" i="12"/>
  <c r="Q173" i="12" s="1"/>
  <c r="M181" i="12"/>
  <c r="Q181" i="12" s="1"/>
  <c r="M189" i="12"/>
  <c r="Q189" i="12" s="1"/>
  <c r="M197" i="12"/>
  <c r="Q197" i="12" s="1"/>
  <c r="M164" i="12"/>
  <c r="Q164" i="12" s="1"/>
  <c r="M172" i="12"/>
  <c r="Q172" i="12" s="1"/>
  <c r="M180" i="12"/>
  <c r="Q180" i="12" s="1"/>
  <c r="M188" i="12"/>
  <c r="Q188" i="12" s="1"/>
  <c r="M196" i="12"/>
  <c r="Q196" i="12" s="1"/>
  <c r="M212" i="12"/>
  <c r="Q212" i="12" s="1"/>
  <c r="M209" i="12"/>
  <c r="Q209" i="12" s="1"/>
  <c r="M203" i="12"/>
  <c r="Q203" i="12" s="1"/>
  <c r="M201" i="12"/>
  <c r="Q201" i="12" s="1"/>
  <c r="M253" i="12"/>
  <c r="Q253" i="12" s="1"/>
  <c r="M269" i="12"/>
  <c r="Q269" i="12" s="1"/>
  <c r="M285" i="12"/>
  <c r="Q285" i="12"/>
  <c r="M216" i="12"/>
  <c r="Q216" i="12" s="1"/>
  <c r="M232" i="12"/>
  <c r="Q232" i="12" s="1"/>
  <c r="M250" i="12"/>
  <c r="Q250" i="12" s="1"/>
  <c r="M268" i="12"/>
  <c r="Q268" i="12" s="1"/>
  <c r="M289" i="12"/>
  <c r="Q289" i="12" s="1"/>
  <c r="M261" i="12"/>
  <c r="Q261" i="12" s="1"/>
  <c r="M293" i="12"/>
  <c r="Q293" i="12" s="1"/>
  <c r="M244" i="12"/>
  <c r="Q244" i="12" s="1"/>
  <c r="M251" i="12"/>
  <c r="Q251" i="12" s="1"/>
  <c r="M271" i="12"/>
  <c r="Q271" i="12"/>
  <c r="M218" i="12"/>
  <c r="Q218" i="12" s="1"/>
  <c r="M260" i="12"/>
  <c r="Q260" i="12" s="1"/>
  <c r="M231" i="12"/>
  <c r="Q231" i="12" s="1"/>
  <c r="M256" i="12"/>
  <c r="Q256" i="12" s="1"/>
  <c r="M235" i="12"/>
  <c r="Q235" i="12" s="1"/>
  <c r="M292" i="12"/>
  <c r="Q292" i="12" s="1"/>
  <c r="M230" i="12"/>
  <c r="Q230" i="12" s="1"/>
  <c r="M288" i="12"/>
  <c r="Q288" i="12" s="1"/>
  <c r="C20" i="12"/>
  <c r="E20" i="12" s="1"/>
  <c r="F20" i="12" s="1"/>
  <c r="G20" i="12"/>
  <c r="H20" i="12" s="1"/>
  <c r="C21" i="12"/>
  <c r="E21" i="12" s="1"/>
  <c r="F21" i="12" s="1"/>
  <c r="G21" i="12"/>
  <c r="H21" i="12" s="1"/>
  <c r="C22" i="12"/>
  <c r="E22" i="12" s="1"/>
  <c r="G22" i="12"/>
  <c r="H22" i="12" s="1"/>
  <c r="C23" i="12"/>
  <c r="E23" i="12" s="1"/>
  <c r="G23" i="12"/>
  <c r="H23" i="12" s="1"/>
  <c r="C24" i="12"/>
  <c r="E24" i="12" s="1"/>
  <c r="F24" i="12" s="1"/>
  <c r="G24" i="12"/>
  <c r="H24" i="12" s="1"/>
  <c r="C25" i="12"/>
  <c r="E25" i="12" s="1"/>
  <c r="F25" i="12" s="1"/>
  <c r="G25" i="12"/>
  <c r="H25" i="12" s="1"/>
  <c r="C26" i="12"/>
  <c r="E26" i="12" s="1"/>
  <c r="F26" i="12" s="1"/>
  <c r="G26" i="12"/>
  <c r="H26" i="12" s="1"/>
  <c r="C27" i="12"/>
  <c r="E27" i="12" s="1"/>
  <c r="G27" i="12"/>
  <c r="H27" i="12" s="1"/>
  <c r="C28" i="12"/>
  <c r="E28" i="12" s="1"/>
  <c r="G28" i="12"/>
  <c r="H28" i="12" s="1"/>
  <c r="C29" i="12"/>
  <c r="E29" i="12" s="1"/>
  <c r="G29" i="12"/>
  <c r="H29" i="12" s="1"/>
  <c r="C30" i="12"/>
  <c r="E30" i="12" s="1"/>
  <c r="F30" i="12" s="1"/>
  <c r="G30" i="12"/>
  <c r="H30" i="12" s="1"/>
  <c r="C31" i="12"/>
  <c r="E31" i="12" s="1"/>
  <c r="G31" i="12"/>
  <c r="H31" i="12" s="1"/>
  <c r="C32" i="12"/>
  <c r="E32" i="12" s="1"/>
  <c r="F32" i="12" s="1"/>
  <c r="G32" i="12"/>
  <c r="H32" i="12" s="1"/>
  <c r="G19" i="12"/>
  <c r="H19" i="12" s="1"/>
  <c r="C19" i="12"/>
  <c r="E19" i="12" s="1"/>
  <c r="F19" i="12" s="1"/>
  <c r="G34" i="12"/>
  <c r="H34" i="12" s="1"/>
  <c r="G35" i="12"/>
  <c r="H35" i="12" s="1"/>
  <c r="G36" i="12"/>
  <c r="H36" i="12" s="1"/>
  <c r="G37" i="12"/>
  <c r="H37" i="12" s="1"/>
  <c r="G38" i="12"/>
  <c r="H38" i="12" s="1"/>
  <c r="G39" i="12"/>
  <c r="H39" i="12" s="1"/>
  <c r="G40" i="12"/>
  <c r="H40" i="12" s="1"/>
  <c r="G41" i="12"/>
  <c r="H41" i="12" s="1"/>
  <c r="G42" i="12"/>
  <c r="H42" i="12" s="1"/>
  <c r="G43" i="12"/>
  <c r="H43" i="12" s="1"/>
  <c r="G44" i="12"/>
  <c r="H44" i="12" s="1"/>
  <c r="G45" i="12"/>
  <c r="H45" i="12" s="1"/>
  <c r="G46" i="12"/>
  <c r="H46" i="12" s="1"/>
  <c r="G47" i="12"/>
  <c r="H47" i="12" s="1"/>
  <c r="G48" i="12"/>
  <c r="H48" i="12" s="1"/>
  <c r="G49" i="12"/>
  <c r="H49" i="12" s="1"/>
  <c r="G50" i="12"/>
  <c r="H50" i="12" s="1"/>
  <c r="G51" i="12"/>
  <c r="H51" i="12" s="1"/>
  <c r="G52" i="12"/>
  <c r="H52" i="12" s="1"/>
  <c r="G53" i="12"/>
  <c r="H53" i="12" s="1"/>
  <c r="G54" i="12"/>
  <c r="H54" i="12" s="1"/>
  <c r="G55" i="12"/>
  <c r="H55" i="12" s="1"/>
  <c r="G56" i="12"/>
  <c r="H56" i="12" s="1"/>
  <c r="G57" i="12"/>
  <c r="H57" i="12" s="1"/>
  <c r="G58" i="12"/>
  <c r="H58" i="12" s="1"/>
  <c r="G59" i="12"/>
  <c r="H59" i="12" s="1"/>
  <c r="G60" i="12"/>
  <c r="H60" i="12" s="1"/>
  <c r="G61" i="12"/>
  <c r="H61" i="12" s="1"/>
  <c r="G62" i="12"/>
  <c r="H62" i="12" s="1"/>
  <c r="G63" i="12"/>
  <c r="H63" i="12" s="1"/>
  <c r="G64" i="12"/>
  <c r="H64" i="12" s="1"/>
  <c r="G65" i="12"/>
  <c r="H65" i="12" s="1"/>
  <c r="G66" i="12"/>
  <c r="H66" i="12" s="1"/>
  <c r="G67" i="12"/>
  <c r="H67" i="12" s="1"/>
  <c r="G68" i="12"/>
  <c r="H68" i="12" s="1"/>
  <c r="G69" i="12"/>
  <c r="H69" i="12" s="1"/>
  <c r="G70" i="12"/>
  <c r="H70" i="12" s="1"/>
  <c r="G71" i="12"/>
  <c r="H71" i="12" s="1"/>
  <c r="G72" i="12"/>
  <c r="H72" i="12" s="1"/>
  <c r="G73" i="12"/>
  <c r="H73" i="12" s="1"/>
  <c r="G74" i="12"/>
  <c r="H74" i="12" s="1"/>
  <c r="G75" i="12"/>
  <c r="H75" i="12" s="1"/>
  <c r="G76" i="12"/>
  <c r="H76" i="12" s="1"/>
  <c r="G77" i="12"/>
  <c r="H77" i="12" s="1"/>
  <c r="G78" i="12"/>
  <c r="H78" i="12" s="1"/>
  <c r="G79" i="12"/>
  <c r="H79" i="12" s="1"/>
  <c r="G80" i="12"/>
  <c r="H80" i="12" s="1"/>
  <c r="G81" i="12"/>
  <c r="H81" i="12" s="1"/>
  <c r="G82" i="12"/>
  <c r="H82" i="12" s="1"/>
  <c r="G83" i="12"/>
  <c r="H83" i="12" s="1"/>
  <c r="G84" i="12"/>
  <c r="H84" i="12" s="1"/>
  <c r="G85" i="12"/>
  <c r="H85" i="12" s="1"/>
  <c r="G86" i="12"/>
  <c r="H86" i="12" s="1"/>
  <c r="G87" i="12"/>
  <c r="H87" i="12" s="1"/>
  <c r="G88" i="12"/>
  <c r="H88" i="12" s="1"/>
  <c r="G89" i="12"/>
  <c r="H89" i="12" s="1"/>
  <c r="G90" i="12"/>
  <c r="H90" i="12" s="1"/>
  <c r="G91" i="12"/>
  <c r="H91" i="12" s="1"/>
  <c r="G92" i="12"/>
  <c r="H92" i="12" s="1"/>
  <c r="G93" i="12"/>
  <c r="H93" i="12" s="1"/>
  <c r="G94" i="12"/>
  <c r="H94" i="12" s="1"/>
  <c r="G95" i="12"/>
  <c r="H95" i="12" s="1"/>
  <c r="G96" i="12"/>
  <c r="H96" i="12" s="1"/>
  <c r="G97" i="12"/>
  <c r="H97" i="12" s="1"/>
  <c r="G98" i="12"/>
  <c r="H98" i="12" s="1"/>
  <c r="G99" i="12"/>
  <c r="H99" i="12" s="1"/>
  <c r="G100" i="12"/>
  <c r="H100" i="12" s="1"/>
  <c r="G101" i="12"/>
  <c r="H101" i="12" s="1"/>
  <c r="G102" i="12"/>
  <c r="H102" i="12" s="1"/>
  <c r="G103" i="12"/>
  <c r="H103" i="12" s="1"/>
  <c r="G104" i="12"/>
  <c r="H104" i="12" s="1"/>
  <c r="G105" i="12"/>
  <c r="H105" i="12" s="1"/>
  <c r="G106" i="12"/>
  <c r="H106" i="12" s="1"/>
  <c r="G107" i="12"/>
  <c r="H107" i="12" s="1"/>
  <c r="G108" i="12"/>
  <c r="H108" i="12" s="1"/>
  <c r="G109" i="12"/>
  <c r="H109" i="12" s="1"/>
  <c r="G110" i="12"/>
  <c r="H110" i="12" s="1"/>
  <c r="G111" i="12"/>
  <c r="H111" i="12" s="1"/>
  <c r="G112" i="12"/>
  <c r="H112" i="12" s="1"/>
  <c r="G113" i="12"/>
  <c r="H113" i="12" s="1"/>
  <c r="G114" i="12"/>
  <c r="H114" i="12" s="1"/>
  <c r="G115" i="12"/>
  <c r="H115" i="12" s="1"/>
  <c r="G116" i="12"/>
  <c r="H116" i="12" s="1"/>
  <c r="G117" i="12"/>
  <c r="H117" i="12" s="1"/>
  <c r="G118" i="12"/>
  <c r="H118" i="12" s="1"/>
  <c r="G119" i="12"/>
  <c r="H119" i="12" s="1"/>
  <c r="G120" i="12"/>
  <c r="H120" i="12" s="1"/>
  <c r="G121" i="12"/>
  <c r="H121" i="12" s="1"/>
  <c r="G122" i="12"/>
  <c r="H122" i="12" s="1"/>
  <c r="G123" i="12"/>
  <c r="H123" i="12" s="1"/>
  <c r="G124" i="12"/>
  <c r="H124" i="12" s="1"/>
  <c r="G125" i="12"/>
  <c r="H125" i="12" s="1"/>
  <c r="G126" i="12"/>
  <c r="H126" i="12" s="1"/>
  <c r="G127" i="12"/>
  <c r="H127" i="12" s="1"/>
  <c r="G128" i="12"/>
  <c r="H128" i="12" s="1"/>
  <c r="G129" i="12"/>
  <c r="H129" i="12" s="1"/>
  <c r="G130" i="12"/>
  <c r="H130" i="12" s="1"/>
  <c r="G131" i="12"/>
  <c r="H131" i="12" s="1"/>
  <c r="G132" i="12"/>
  <c r="H132" i="12" s="1"/>
  <c r="G133" i="12"/>
  <c r="H133" i="12" s="1"/>
  <c r="G134" i="12"/>
  <c r="H134" i="12" s="1"/>
  <c r="G135" i="12"/>
  <c r="H135" i="12" s="1"/>
  <c r="G136" i="12"/>
  <c r="H136" i="12" s="1"/>
  <c r="G137" i="12"/>
  <c r="H137" i="12" s="1"/>
  <c r="G138" i="12"/>
  <c r="H138" i="12" s="1"/>
  <c r="G139" i="12"/>
  <c r="H139" i="12" s="1"/>
  <c r="G140" i="12"/>
  <c r="H140" i="12" s="1"/>
  <c r="G141" i="12"/>
  <c r="H141" i="12" s="1"/>
  <c r="G142" i="12"/>
  <c r="H142" i="12" s="1"/>
  <c r="G143" i="12"/>
  <c r="H143" i="12" s="1"/>
  <c r="G144" i="12"/>
  <c r="H144" i="12" s="1"/>
  <c r="G145" i="12"/>
  <c r="H145" i="12" s="1"/>
  <c r="G146" i="12"/>
  <c r="H146" i="12" s="1"/>
  <c r="G147" i="12"/>
  <c r="H147" i="12" s="1"/>
  <c r="G148" i="12"/>
  <c r="H148" i="12" s="1"/>
  <c r="G149" i="12"/>
  <c r="H149" i="12" s="1"/>
  <c r="G150" i="12"/>
  <c r="H150" i="12" s="1"/>
  <c r="G151" i="12"/>
  <c r="H151" i="12" s="1"/>
  <c r="G152" i="12"/>
  <c r="H152" i="12" s="1"/>
  <c r="G153" i="12"/>
  <c r="H153" i="12" s="1"/>
  <c r="G154" i="12"/>
  <c r="H154" i="12" s="1"/>
  <c r="G155" i="12"/>
  <c r="H155" i="12" s="1"/>
  <c r="G156" i="12"/>
  <c r="H156" i="12" s="1"/>
  <c r="G157" i="12"/>
  <c r="H157" i="12" s="1"/>
  <c r="G158" i="12"/>
  <c r="H158" i="12" s="1"/>
  <c r="G33" i="12"/>
  <c r="H33" i="12" s="1"/>
  <c r="C34" i="12"/>
  <c r="E34" i="12" s="1"/>
  <c r="C35" i="12"/>
  <c r="E35" i="12" s="1"/>
  <c r="C36" i="12"/>
  <c r="E36" i="12" s="1"/>
  <c r="C37" i="12"/>
  <c r="E37" i="12" s="1"/>
  <c r="F37" i="12" s="1"/>
  <c r="C38" i="12"/>
  <c r="E38" i="12" s="1"/>
  <c r="C39" i="12"/>
  <c r="E39" i="12" s="1"/>
  <c r="C40" i="12"/>
  <c r="E40" i="12" s="1"/>
  <c r="C41" i="12"/>
  <c r="E41" i="12" s="1"/>
  <c r="F41" i="12" s="1"/>
  <c r="C42" i="12"/>
  <c r="E42" i="12" s="1"/>
  <c r="C43" i="12"/>
  <c r="E43" i="12" s="1"/>
  <c r="C44" i="12"/>
  <c r="E44" i="12" s="1"/>
  <c r="C45" i="12"/>
  <c r="E45" i="12" s="1"/>
  <c r="C46" i="12"/>
  <c r="E46" i="12" s="1"/>
  <c r="C47" i="12"/>
  <c r="E47" i="12" s="1"/>
  <c r="C48" i="12"/>
  <c r="E48" i="12" s="1"/>
  <c r="C49" i="12"/>
  <c r="E49" i="12" s="1"/>
  <c r="C50" i="12"/>
  <c r="E50" i="12" s="1"/>
  <c r="C51" i="12"/>
  <c r="E51" i="12" s="1"/>
  <c r="C52" i="12"/>
  <c r="E52" i="12" s="1"/>
  <c r="C53" i="12"/>
  <c r="E53" i="12" s="1"/>
  <c r="C54" i="12"/>
  <c r="E54" i="12" s="1"/>
  <c r="C55" i="12"/>
  <c r="E55" i="12" s="1"/>
  <c r="C56" i="12"/>
  <c r="E56" i="12" s="1"/>
  <c r="F56" i="12" s="1"/>
  <c r="C57" i="12"/>
  <c r="E57" i="12" s="1"/>
  <c r="C58" i="12"/>
  <c r="E58" i="12" s="1"/>
  <c r="C59" i="12"/>
  <c r="E59" i="12" s="1"/>
  <c r="C60" i="12"/>
  <c r="E60" i="12" s="1"/>
  <c r="C61" i="12"/>
  <c r="E61" i="12" s="1"/>
  <c r="C62" i="12"/>
  <c r="E62" i="12" s="1"/>
  <c r="C63" i="12"/>
  <c r="E63" i="12" s="1"/>
  <c r="C64" i="12"/>
  <c r="E64" i="12" s="1"/>
  <c r="C65" i="12"/>
  <c r="E65" i="12" s="1"/>
  <c r="C66" i="12"/>
  <c r="E66" i="12" s="1"/>
  <c r="C67" i="12"/>
  <c r="E67" i="12" s="1"/>
  <c r="C68" i="12"/>
  <c r="E68" i="12" s="1"/>
  <c r="C69" i="12"/>
  <c r="E69" i="12" s="1"/>
  <c r="C70" i="12"/>
  <c r="E70" i="12" s="1"/>
  <c r="C71" i="12"/>
  <c r="E71" i="12" s="1"/>
  <c r="C72" i="12"/>
  <c r="E72" i="12" s="1"/>
  <c r="F72" i="12" s="1"/>
  <c r="C73" i="12"/>
  <c r="E73" i="12" s="1"/>
  <c r="C74" i="12"/>
  <c r="E74" i="12" s="1"/>
  <c r="C75" i="12"/>
  <c r="E75" i="12" s="1"/>
  <c r="C76" i="12"/>
  <c r="E76" i="12" s="1"/>
  <c r="C77" i="12"/>
  <c r="E77" i="12" s="1"/>
  <c r="C78" i="12"/>
  <c r="E78" i="12" s="1"/>
  <c r="C79" i="12"/>
  <c r="E79" i="12" s="1"/>
  <c r="C80" i="12"/>
  <c r="E80" i="12" s="1"/>
  <c r="F80" i="12" s="1"/>
  <c r="C81" i="12"/>
  <c r="E81" i="12" s="1"/>
  <c r="C82" i="12"/>
  <c r="E82" i="12" s="1"/>
  <c r="C83" i="12"/>
  <c r="E83" i="12" s="1"/>
  <c r="C84" i="12"/>
  <c r="E84" i="12" s="1"/>
  <c r="C85" i="12"/>
  <c r="E85" i="12" s="1"/>
  <c r="C86" i="12"/>
  <c r="E86" i="12" s="1"/>
  <c r="C87" i="12"/>
  <c r="E87" i="12" s="1"/>
  <c r="C88" i="12"/>
  <c r="E88" i="12" s="1"/>
  <c r="F88" i="12" s="1"/>
  <c r="C89" i="12"/>
  <c r="E89" i="12" s="1"/>
  <c r="C90" i="12"/>
  <c r="E90" i="12" s="1"/>
  <c r="C91" i="12"/>
  <c r="E91" i="12" s="1"/>
  <c r="C92" i="12"/>
  <c r="E92" i="12" s="1"/>
  <c r="C93" i="12"/>
  <c r="E93" i="12" s="1"/>
  <c r="C94" i="12"/>
  <c r="E94" i="12" s="1"/>
  <c r="C95" i="12"/>
  <c r="E95" i="12" s="1"/>
  <c r="C96" i="12"/>
  <c r="E96" i="12" s="1"/>
  <c r="C97" i="12"/>
  <c r="E97" i="12" s="1"/>
  <c r="C98" i="12"/>
  <c r="E98" i="12" s="1"/>
  <c r="C99" i="12"/>
  <c r="E99" i="12" s="1"/>
  <c r="C100" i="12"/>
  <c r="E100" i="12" s="1"/>
  <c r="C101" i="12"/>
  <c r="E101" i="12" s="1"/>
  <c r="C102" i="12"/>
  <c r="E102" i="12" s="1"/>
  <c r="C103" i="12"/>
  <c r="E103" i="12" s="1"/>
  <c r="C104" i="12"/>
  <c r="E104" i="12" s="1"/>
  <c r="F104" i="12" s="1"/>
  <c r="C105" i="12"/>
  <c r="E105" i="12" s="1"/>
  <c r="C106" i="12"/>
  <c r="E106" i="12" s="1"/>
  <c r="C107" i="12"/>
  <c r="E107" i="12" s="1"/>
  <c r="C108" i="12"/>
  <c r="E108" i="12" s="1"/>
  <c r="C109" i="12"/>
  <c r="E109" i="12" s="1"/>
  <c r="C110" i="12"/>
  <c r="E110" i="12" s="1"/>
  <c r="C111" i="12"/>
  <c r="E111" i="12" s="1"/>
  <c r="C112" i="12"/>
  <c r="E112" i="12" s="1"/>
  <c r="F112" i="12" s="1"/>
  <c r="C113" i="12"/>
  <c r="E113" i="12" s="1"/>
  <c r="C114" i="12"/>
  <c r="E114" i="12" s="1"/>
  <c r="C115" i="12"/>
  <c r="E115" i="12" s="1"/>
  <c r="C116" i="12"/>
  <c r="E116" i="12" s="1"/>
  <c r="C117" i="12"/>
  <c r="E117" i="12" s="1"/>
  <c r="C118" i="12"/>
  <c r="E118" i="12" s="1"/>
  <c r="C119" i="12"/>
  <c r="E119" i="12" s="1"/>
  <c r="C120" i="12"/>
  <c r="E120" i="12" s="1"/>
  <c r="F120" i="12" s="1"/>
  <c r="C121" i="12"/>
  <c r="E121" i="12" s="1"/>
  <c r="C122" i="12"/>
  <c r="E122" i="12" s="1"/>
  <c r="C123" i="12"/>
  <c r="E123" i="12" s="1"/>
  <c r="C124" i="12"/>
  <c r="E124" i="12" s="1"/>
  <c r="C125" i="12"/>
  <c r="E125" i="12" s="1"/>
  <c r="C126" i="12"/>
  <c r="E126" i="12" s="1"/>
  <c r="C127" i="12"/>
  <c r="E127" i="12" s="1"/>
  <c r="C128" i="12"/>
  <c r="E128" i="12" s="1"/>
  <c r="C129" i="12"/>
  <c r="E129" i="12" s="1"/>
  <c r="C130" i="12"/>
  <c r="E130" i="12" s="1"/>
  <c r="C131" i="12"/>
  <c r="E131" i="12" s="1"/>
  <c r="C132" i="12"/>
  <c r="E132" i="12" s="1"/>
  <c r="C133" i="12"/>
  <c r="E133" i="12" s="1"/>
  <c r="C134" i="12"/>
  <c r="E134" i="12" s="1"/>
  <c r="C135" i="12"/>
  <c r="E135" i="12" s="1"/>
  <c r="C136" i="12"/>
  <c r="E136" i="12" s="1"/>
  <c r="F136" i="12" s="1"/>
  <c r="C137" i="12"/>
  <c r="E137" i="12" s="1"/>
  <c r="C138" i="12"/>
  <c r="E138" i="12" s="1"/>
  <c r="C139" i="12"/>
  <c r="E139" i="12" s="1"/>
  <c r="C140" i="12"/>
  <c r="E140" i="12" s="1"/>
  <c r="C141" i="12"/>
  <c r="E141" i="12" s="1"/>
  <c r="C142" i="12"/>
  <c r="E142" i="12" s="1"/>
  <c r="C143" i="12"/>
  <c r="E143" i="12" s="1"/>
  <c r="C144" i="12"/>
  <c r="E144" i="12" s="1"/>
  <c r="F144" i="12" s="1"/>
  <c r="C145" i="12"/>
  <c r="E145" i="12" s="1"/>
  <c r="C146" i="12"/>
  <c r="E146" i="12" s="1"/>
  <c r="C147" i="12"/>
  <c r="E147" i="12" s="1"/>
  <c r="C148" i="12"/>
  <c r="E148" i="12" s="1"/>
  <c r="C149" i="12"/>
  <c r="E149" i="12" s="1"/>
  <c r="C150" i="12"/>
  <c r="E150" i="12" s="1"/>
  <c r="C151" i="12"/>
  <c r="E151" i="12" s="1"/>
  <c r="C152" i="12"/>
  <c r="E152" i="12" s="1"/>
  <c r="F152" i="12" s="1"/>
  <c r="C153" i="12"/>
  <c r="E153" i="12" s="1"/>
  <c r="C154" i="12"/>
  <c r="E154" i="12" s="1"/>
  <c r="C155" i="12"/>
  <c r="E155" i="12" s="1"/>
  <c r="C156" i="12"/>
  <c r="E156" i="12" s="1"/>
  <c r="C157" i="12"/>
  <c r="E157" i="12" s="1"/>
  <c r="C158" i="12"/>
  <c r="E158" i="12" s="1"/>
  <c r="F35" i="3"/>
  <c r="D35" i="3" s="1"/>
  <c r="B175" i="14"/>
  <c r="B174" i="14"/>
  <c r="B173" i="14"/>
  <c r="B172" i="14"/>
  <c r="B171" i="14"/>
  <c r="B170" i="14"/>
  <c r="B169" i="14"/>
  <c r="B168" i="14"/>
  <c r="B167" i="14"/>
  <c r="B166" i="14"/>
  <c r="B165" i="14"/>
  <c r="B164" i="14"/>
  <c r="B163" i="14"/>
  <c r="B162" i="14"/>
  <c r="B161" i="14"/>
  <c r="B160" i="14"/>
  <c r="B159" i="14"/>
  <c r="B158" i="14"/>
  <c r="B157" i="14"/>
  <c r="B156" i="14"/>
  <c r="B155" i="14"/>
  <c r="B154" i="14"/>
  <c r="B153" i="14"/>
  <c r="B152" i="14"/>
  <c r="C121" i="14"/>
  <c r="D121" i="14"/>
  <c r="E121" i="14"/>
  <c r="F121" i="14"/>
  <c r="G121" i="14"/>
  <c r="H121" i="14"/>
  <c r="I121" i="14"/>
  <c r="J121" i="14"/>
  <c r="C122" i="14"/>
  <c r="D122" i="14"/>
  <c r="E122" i="14"/>
  <c r="F122" i="14"/>
  <c r="G122" i="14"/>
  <c r="H122" i="14"/>
  <c r="I122" i="14"/>
  <c r="J122" i="14"/>
  <c r="C123" i="14"/>
  <c r="D123" i="14"/>
  <c r="E123" i="14"/>
  <c r="F123" i="14"/>
  <c r="G123" i="14"/>
  <c r="H123" i="14"/>
  <c r="I123" i="14"/>
  <c r="J123" i="14"/>
  <c r="C124" i="14"/>
  <c r="D124" i="14"/>
  <c r="E124" i="14"/>
  <c r="F124" i="14"/>
  <c r="G124" i="14"/>
  <c r="H124" i="14"/>
  <c r="I124" i="14"/>
  <c r="J124" i="14"/>
  <c r="C125" i="14"/>
  <c r="D125" i="14"/>
  <c r="E125" i="14"/>
  <c r="F125" i="14"/>
  <c r="G125" i="14"/>
  <c r="H125" i="14"/>
  <c r="I125" i="14"/>
  <c r="J125" i="14"/>
  <c r="D120" i="14"/>
  <c r="E120" i="14"/>
  <c r="F120" i="14"/>
  <c r="G120" i="14"/>
  <c r="H120" i="14"/>
  <c r="I120" i="14"/>
  <c r="J120" i="14"/>
  <c r="C120" i="14"/>
  <c r="D116" i="14"/>
  <c r="E116" i="14" s="1"/>
  <c r="G116" i="14" s="1"/>
  <c r="M115" i="14"/>
  <c r="A43" i="14"/>
  <c r="A44" i="14" s="1"/>
  <c r="B42" i="14"/>
  <c r="C42" i="14" s="1"/>
  <c r="E42" i="14" s="1"/>
  <c r="T41" i="14"/>
  <c r="S41" i="14"/>
  <c r="R41" i="14"/>
  <c r="Q41" i="14"/>
  <c r="P41" i="14"/>
  <c r="O41" i="14"/>
  <c r="N41" i="14"/>
  <c r="M41" i="14"/>
  <c r="L41" i="14"/>
  <c r="K41" i="14"/>
  <c r="J41" i="14"/>
  <c r="I41" i="14"/>
  <c r="T39" i="14"/>
  <c r="S39" i="14"/>
  <c r="R39" i="14"/>
  <c r="Q39" i="14"/>
  <c r="P39" i="14"/>
  <c r="O39" i="14"/>
  <c r="N39" i="14"/>
  <c r="M39" i="14"/>
  <c r="L39" i="14"/>
  <c r="K39" i="14"/>
  <c r="J39" i="14"/>
  <c r="I39" i="14"/>
  <c r="Q14" i="14"/>
  <c r="M14" i="14"/>
  <c r="L14" i="14"/>
  <c r="K14" i="14"/>
  <c r="J14" i="14"/>
  <c r="I14" i="14"/>
  <c r="H14" i="14"/>
  <c r="G14" i="14"/>
  <c r="D14" i="14"/>
  <c r="C14" i="14"/>
  <c r="B9" i="14"/>
  <c r="O9" i="14" s="1"/>
  <c r="Q9" i="14" s="1"/>
  <c r="O8" i="14"/>
  <c r="Q8" i="14" s="1"/>
  <c r="L8" i="14"/>
  <c r="K8" i="14"/>
  <c r="J8" i="14"/>
  <c r="I8" i="14"/>
  <c r="H8" i="14"/>
  <c r="G8" i="14"/>
  <c r="D8" i="14"/>
  <c r="C8" i="14"/>
  <c r="O7" i="14"/>
  <c r="R7" i="14" s="1"/>
  <c r="L7" i="14"/>
  <c r="K7" i="14"/>
  <c r="J7" i="14"/>
  <c r="I7" i="14"/>
  <c r="H7" i="14"/>
  <c r="G7" i="14"/>
  <c r="D7" i="14"/>
  <c r="C7" i="14"/>
  <c r="L6" i="14"/>
  <c r="K6" i="14"/>
  <c r="J6" i="14"/>
  <c r="I6" i="14"/>
  <c r="H6" i="14"/>
  <c r="C33" i="12"/>
  <c r="E33" i="12" s="1"/>
  <c r="K26" i="5"/>
  <c r="F44" i="13"/>
  <c r="G44" i="13"/>
  <c r="H44" i="13"/>
  <c r="I44" i="13"/>
  <c r="J44" i="13"/>
  <c r="K44" i="13"/>
  <c r="L44" i="13"/>
  <c r="M44" i="13"/>
  <c r="N44" i="13"/>
  <c r="O44" i="13"/>
  <c r="P44" i="13"/>
  <c r="F45" i="13"/>
  <c r="G45" i="13"/>
  <c r="H45" i="13"/>
  <c r="I45" i="13"/>
  <c r="J45" i="13"/>
  <c r="K45" i="13"/>
  <c r="L45" i="13"/>
  <c r="M45" i="13"/>
  <c r="N45" i="13"/>
  <c r="O45" i="13"/>
  <c r="P45" i="13"/>
  <c r="F46" i="13"/>
  <c r="G46" i="13"/>
  <c r="H46" i="13"/>
  <c r="I46" i="13"/>
  <c r="J46" i="13"/>
  <c r="K46" i="13"/>
  <c r="L46" i="13"/>
  <c r="M46" i="13"/>
  <c r="N46" i="13"/>
  <c r="O46" i="13"/>
  <c r="P46" i="13"/>
  <c r="F47" i="13"/>
  <c r="G47" i="13"/>
  <c r="H47" i="13"/>
  <c r="I47" i="13"/>
  <c r="J47" i="13"/>
  <c r="K47" i="13"/>
  <c r="L47" i="13"/>
  <c r="M47" i="13"/>
  <c r="N47" i="13"/>
  <c r="O47" i="13"/>
  <c r="P47" i="13"/>
  <c r="F48" i="13"/>
  <c r="G48" i="13"/>
  <c r="H48" i="13"/>
  <c r="I48" i="13"/>
  <c r="J48" i="13"/>
  <c r="K48" i="13"/>
  <c r="L48" i="13"/>
  <c r="M48" i="13"/>
  <c r="N48" i="13"/>
  <c r="O48" i="13"/>
  <c r="P48" i="13"/>
  <c r="F49" i="13"/>
  <c r="G49" i="13"/>
  <c r="H49" i="13"/>
  <c r="I49" i="13"/>
  <c r="J49" i="13"/>
  <c r="K49" i="13"/>
  <c r="L49" i="13"/>
  <c r="M49" i="13"/>
  <c r="N49" i="13"/>
  <c r="O49" i="13"/>
  <c r="P49" i="13"/>
  <c r="F50" i="13"/>
  <c r="G50" i="13"/>
  <c r="H50" i="13"/>
  <c r="I50" i="13"/>
  <c r="J50" i="13"/>
  <c r="K50" i="13"/>
  <c r="L50" i="13"/>
  <c r="M50" i="13"/>
  <c r="N50" i="13"/>
  <c r="O50" i="13"/>
  <c r="P50" i="13"/>
  <c r="F51" i="13"/>
  <c r="G51" i="13"/>
  <c r="H51" i="13"/>
  <c r="I51" i="13"/>
  <c r="J51" i="13"/>
  <c r="K51" i="13"/>
  <c r="L51" i="13"/>
  <c r="M51" i="13"/>
  <c r="N51" i="13"/>
  <c r="O51" i="13"/>
  <c r="P51" i="13"/>
  <c r="F52" i="13"/>
  <c r="G52" i="13"/>
  <c r="H52" i="13"/>
  <c r="I52" i="13"/>
  <c r="J52" i="13"/>
  <c r="K52" i="13"/>
  <c r="L52" i="13"/>
  <c r="M52" i="13"/>
  <c r="N52" i="13"/>
  <c r="O52" i="13"/>
  <c r="P52" i="13"/>
  <c r="F53" i="13"/>
  <c r="G53" i="13"/>
  <c r="H53" i="13"/>
  <c r="I53" i="13"/>
  <c r="J53" i="13"/>
  <c r="K53" i="13"/>
  <c r="L53" i="13"/>
  <c r="M53" i="13"/>
  <c r="N53" i="13"/>
  <c r="O53" i="13"/>
  <c r="P53" i="13"/>
  <c r="E45" i="13"/>
  <c r="E46" i="13"/>
  <c r="E47" i="13"/>
  <c r="E48" i="13"/>
  <c r="E49" i="13"/>
  <c r="E50" i="13"/>
  <c r="E51" i="13"/>
  <c r="E52" i="13"/>
  <c r="E53" i="13"/>
  <c r="E44" i="13"/>
  <c r="C31" i="13"/>
  <c r="C32" i="13"/>
  <c r="C33" i="13"/>
  <c r="C34" i="13"/>
  <c r="C35" i="13"/>
  <c r="C36" i="13"/>
  <c r="C37" i="13"/>
  <c r="C38" i="13"/>
  <c r="C39" i="13"/>
  <c r="C30" i="13"/>
  <c r="F28" i="13"/>
  <c r="F27" i="13" s="1"/>
  <c r="G28" i="13"/>
  <c r="G27" i="13" s="1"/>
  <c r="H28" i="13"/>
  <c r="H27" i="13" s="1"/>
  <c r="I28" i="13"/>
  <c r="I27" i="13" s="1"/>
  <c r="J28" i="13"/>
  <c r="J27" i="13" s="1"/>
  <c r="K28" i="13"/>
  <c r="K27" i="13" s="1"/>
  <c r="L28" i="13"/>
  <c r="L27" i="13" s="1"/>
  <c r="M28" i="13"/>
  <c r="M27" i="13" s="1"/>
  <c r="N28" i="13"/>
  <c r="N27" i="13" s="1"/>
  <c r="O28" i="13"/>
  <c r="O27" i="13" s="1"/>
  <c r="P28" i="13"/>
  <c r="P27" i="13" s="1"/>
  <c r="E28" i="13"/>
  <c r="E27" i="13" s="1"/>
  <c r="C24" i="13"/>
  <c r="E24" i="13" s="1"/>
  <c r="M1" i="13"/>
  <c r="O2" i="13"/>
  <c r="O10" i="13" s="1"/>
  <c r="N2" i="13"/>
  <c r="N6" i="13" s="1"/>
  <c r="P6" i="13" s="1"/>
  <c r="Q5" i="13"/>
  <c r="S5" i="13" s="1"/>
  <c r="U5" i="13" s="1"/>
  <c r="Q6" i="13"/>
  <c r="S6" i="13" s="1"/>
  <c r="U6" i="13" s="1"/>
  <c r="Q9" i="13"/>
  <c r="S9" i="13" s="1"/>
  <c r="U9" i="13" s="1"/>
  <c r="Q10" i="13"/>
  <c r="S10" i="13" s="1"/>
  <c r="U10" i="13" s="1"/>
  <c r="Q11" i="13"/>
  <c r="S11" i="13" s="1"/>
  <c r="U11" i="13" s="1"/>
  <c r="Q12" i="13"/>
  <c r="S12" i="13" s="1"/>
  <c r="U12" i="13" s="1"/>
  <c r="Q13" i="13"/>
  <c r="S13" i="13" s="1"/>
  <c r="U13" i="13" s="1"/>
  <c r="Q14" i="13"/>
  <c r="S14" i="13" s="1"/>
  <c r="U14" i="13" s="1"/>
  <c r="Q15" i="13"/>
  <c r="S15" i="13" s="1"/>
  <c r="U15" i="13" s="1"/>
  <c r="Q16" i="13"/>
  <c r="S16" i="13" s="1"/>
  <c r="U16" i="13" s="1"/>
  <c r="Q17" i="13"/>
  <c r="S17" i="13" s="1"/>
  <c r="U17" i="13" s="1"/>
  <c r="Q18" i="13"/>
  <c r="S18" i="13" s="1"/>
  <c r="U18" i="13" s="1"/>
  <c r="Q19" i="13"/>
  <c r="S19" i="13" s="1"/>
  <c r="U19" i="13" s="1"/>
  <c r="Q20" i="13"/>
  <c r="S20" i="13" s="1"/>
  <c r="U20" i="13" s="1"/>
  <c r="Q21" i="13"/>
  <c r="S21" i="13" s="1"/>
  <c r="U21" i="13" s="1"/>
  <c r="H12" i="13"/>
  <c r="I12" i="13"/>
  <c r="J12" i="13"/>
  <c r="K12" i="13"/>
  <c r="L12" i="13"/>
  <c r="H13" i="13"/>
  <c r="I13" i="13"/>
  <c r="J13" i="13"/>
  <c r="K13" i="13"/>
  <c r="L13" i="13"/>
  <c r="H14" i="13"/>
  <c r="I14" i="13"/>
  <c r="J14" i="13"/>
  <c r="K14" i="13"/>
  <c r="L14" i="13"/>
  <c r="H15" i="13"/>
  <c r="I15" i="13"/>
  <c r="J15" i="13"/>
  <c r="K15" i="13"/>
  <c r="L15" i="13"/>
  <c r="H16" i="13"/>
  <c r="I16" i="13"/>
  <c r="J16" i="13"/>
  <c r="K16" i="13"/>
  <c r="L16" i="13"/>
  <c r="H17" i="13"/>
  <c r="I17" i="13"/>
  <c r="J17" i="13"/>
  <c r="K17" i="13"/>
  <c r="L17" i="13"/>
  <c r="H18" i="13"/>
  <c r="I18" i="13"/>
  <c r="J18" i="13"/>
  <c r="K18" i="13"/>
  <c r="L18" i="13"/>
  <c r="H19" i="13"/>
  <c r="I19" i="13"/>
  <c r="J19" i="13"/>
  <c r="K19" i="13"/>
  <c r="L19" i="13"/>
  <c r="H20" i="13"/>
  <c r="I20" i="13"/>
  <c r="J20" i="13"/>
  <c r="K20" i="13"/>
  <c r="L20" i="13"/>
  <c r="H21" i="13"/>
  <c r="I21" i="13"/>
  <c r="J21" i="13"/>
  <c r="K21" i="13"/>
  <c r="L21" i="13"/>
  <c r="C21" i="13"/>
  <c r="D21" i="13"/>
  <c r="G21" i="13"/>
  <c r="C20" i="13"/>
  <c r="D20" i="13"/>
  <c r="G20" i="13"/>
  <c r="C19" i="13"/>
  <c r="D19" i="13"/>
  <c r="G19" i="13"/>
  <c r="C18" i="13"/>
  <c r="D18" i="13"/>
  <c r="G18" i="13"/>
  <c r="C17" i="13"/>
  <c r="D17" i="13"/>
  <c r="G17" i="13"/>
  <c r="C16" i="13"/>
  <c r="D16" i="13"/>
  <c r="G16" i="13"/>
  <c r="C15" i="13"/>
  <c r="D15" i="13"/>
  <c r="G15" i="13"/>
  <c r="C14" i="13"/>
  <c r="D14" i="13"/>
  <c r="G14" i="13"/>
  <c r="C13" i="13"/>
  <c r="D13" i="13"/>
  <c r="G13" i="13"/>
  <c r="C12" i="13"/>
  <c r="D12" i="13"/>
  <c r="G12" i="13"/>
  <c r="L11" i="13"/>
  <c r="K11" i="13"/>
  <c r="J11" i="13"/>
  <c r="I11" i="13"/>
  <c r="H11" i="13"/>
  <c r="G11" i="13"/>
  <c r="D11" i="13"/>
  <c r="C11" i="13"/>
  <c r="B7" i="13"/>
  <c r="Q7" i="13" s="1"/>
  <c r="S7" i="13" s="1"/>
  <c r="U7" i="13" s="1"/>
  <c r="L5" i="13"/>
  <c r="K5" i="13"/>
  <c r="J5" i="13"/>
  <c r="I5" i="13"/>
  <c r="H5" i="13"/>
  <c r="G5" i="13"/>
  <c r="D5" i="13"/>
  <c r="C5" i="13"/>
  <c r="Q4" i="13"/>
  <c r="S4" i="13" s="1"/>
  <c r="U4" i="13" s="1"/>
  <c r="L4" i="13"/>
  <c r="K4" i="13"/>
  <c r="J4" i="13"/>
  <c r="I4" i="13"/>
  <c r="H4" i="13"/>
  <c r="G4" i="13"/>
  <c r="D4" i="13"/>
  <c r="C4" i="13"/>
  <c r="L3" i="13"/>
  <c r="K3" i="13"/>
  <c r="J3" i="13"/>
  <c r="I3" i="13"/>
  <c r="H3" i="13"/>
  <c r="H34" i="3"/>
  <c r="M12" i="3"/>
  <c r="M5" i="3"/>
  <c r="M6" i="3"/>
  <c r="M7" i="3"/>
  <c r="M11" i="3"/>
  <c r="M10" i="3"/>
  <c r="M9" i="3"/>
  <c r="M8" i="3"/>
  <c r="E128" i="14" l="1"/>
  <c r="D128" i="14"/>
  <c r="J9" i="14"/>
  <c r="P8" i="14"/>
  <c r="G9" i="14"/>
  <c r="F128" i="14"/>
  <c r="P7" i="14"/>
  <c r="Q7" i="14"/>
  <c r="K9" i="14"/>
  <c r="C128" i="14"/>
  <c r="D9" i="14"/>
  <c r="R5" i="13"/>
  <c r="D24" i="13"/>
  <c r="F24" i="13" s="1"/>
  <c r="R4" i="13"/>
  <c r="I41" i="12"/>
  <c r="J41" i="12" s="1"/>
  <c r="K41" i="12" s="1"/>
  <c r="T41" i="12" s="1"/>
  <c r="I37" i="12"/>
  <c r="J37" i="12" s="1"/>
  <c r="K37" i="12" s="1"/>
  <c r="T37" i="12" s="1"/>
  <c r="I25" i="12"/>
  <c r="J25" i="12" s="1"/>
  <c r="K25" i="12" s="1"/>
  <c r="T25" i="12" s="1"/>
  <c r="I20" i="12"/>
  <c r="J20" i="12" s="1"/>
  <c r="K20" i="12" s="1"/>
  <c r="T20" i="12" s="1"/>
  <c r="F49" i="12"/>
  <c r="I49" i="12" s="1"/>
  <c r="J49" i="12" s="1"/>
  <c r="K49" i="12" s="1"/>
  <c r="T49" i="12" s="1"/>
  <c r="F48" i="12"/>
  <c r="I48" i="12" s="1"/>
  <c r="J48" i="12" s="1"/>
  <c r="K48" i="12" s="1"/>
  <c r="T48" i="12" s="1"/>
  <c r="F40" i="12"/>
  <c r="I40" i="12" s="1"/>
  <c r="J40" i="12" s="1"/>
  <c r="K40" i="12" s="1"/>
  <c r="T40" i="12" s="1"/>
  <c r="F31" i="12"/>
  <c r="I31" i="12" s="1"/>
  <c r="J31" i="12" s="1"/>
  <c r="K31" i="12" s="1"/>
  <c r="T31" i="12" s="1"/>
  <c r="F29" i="12"/>
  <c r="I29" i="12" s="1"/>
  <c r="J29" i="12" s="1"/>
  <c r="K29" i="12" s="1"/>
  <c r="T29" i="12" s="1"/>
  <c r="F27" i="12"/>
  <c r="I27" i="12" s="1"/>
  <c r="J27" i="12" s="1"/>
  <c r="K27" i="12" s="1"/>
  <c r="T27" i="12" s="1"/>
  <c r="F23" i="12"/>
  <c r="I23" i="12" s="1"/>
  <c r="J23" i="12" s="1"/>
  <c r="K23" i="12" s="1"/>
  <c r="T23" i="12" s="1"/>
  <c r="I30" i="12"/>
  <c r="J30" i="12" s="1"/>
  <c r="K30" i="12" s="1"/>
  <c r="T30" i="12" s="1"/>
  <c r="I152" i="12"/>
  <c r="J152" i="12" s="1"/>
  <c r="K152" i="12" s="1"/>
  <c r="T152" i="12" s="1"/>
  <c r="I136" i="12"/>
  <c r="J136" i="12" s="1"/>
  <c r="K136" i="12" s="1"/>
  <c r="T136" i="12" s="1"/>
  <c r="I120" i="12"/>
  <c r="J120" i="12" s="1"/>
  <c r="K120" i="12" s="1"/>
  <c r="T120" i="12" s="1"/>
  <c r="I104" i="12"/>
  <c r="J104" i="12" s="1"/>
  <c r="K104" i="12" s="1"/>
  <c r="T104" i="12" s="1"/>
  <c r="I88" i="12"/>
  <c r="J88" i="12" s="1"/>
  <c r="K88" i="12" s="1"/>
  <c r="T88" i="12" s="1"/>
  <c r="I72" i="12"/>
  <c r="J72" i="12" s="1"/>
  <c r="K72" i="12" s="1"/>
  <c r="T72" i="12" s="1"/>
  <c r="I56" i="12"/>
  <c r="J56" i="12" s="1"/>
  <c r="K56" i="12" s="1"/>
  <c r="T56" i="12" s="1"/>
  <c r="F128" i="12"/>
  <c r="I128" i="12" s="1"/>
  <c r="J128" i="12" s="1"/>
  <c r="K128" i="12" s="1"/>
  <c r="T128" i="12" s="1"/>
  <c r="F96" i="12"/>
  <c r="I96" i="12" s="1"/>
  <c r="J96" i="12" s="1"/>
  <c r="K96" i="12" s="1"/>
  <c r="T96" i="12" s="1"/>
  <c r="F64" i="12"/>
  <c r="I64" i="12" s="1"/>
  <c r="J64" i="12" s="1"/>
  <c r="K64" i="12" s="1"/>
  <c r="T64" i="12" s="1"/>
  <c r="I19" i="12"/>
  <c r="J19" i="12" s="1"/>
  <c r="K19" i="12" s="1"/>
  <c r="T19" i="12" s="1"/>
  <c r="I144" i="12"/>
  <c r="J144" i="12" s="1"/>
  <c r="K144" i="12" s="1"/>
  <c r="T144" i="12" s="1"/>
  <c r="I112" i="12"/>
  <c r="J112" i="12" s="1"/>
  <c r="K112" i="12" s="1"/>
  <c r="T112" i="12" s="1"/>
  <c r="I80" i="12"/>
  <c r="J80" i="12" s="1"/>
  <c r="K80" i="12" s="1"/>
  <c r="T80" i="12" s="1"/>
  <c r="I26" i="12"/>
  <c r="J26" i="12" s="1"/>
  <c r="K26" i="12" s="1"/>
  <c r="T26" i="12" s="1"/>
  <c r="F28" i="12"/>
  <c r="I28" i="12" s="1"/>
  <c r="J28" i="12" s="1"/>
  <c r="K28" i="12" s="1"/>
  <c r="T28" i="12" s="1"/>
  <c r="F22" i="12"/>
  <c r="I22" i="12" s="1"/>
  <c r="J22" i="12" s="1"/>
  <c r="K22" i="12" s="1"/>
  <c r="T22" i="12" s="1"/>
  <c r="I32" i="12"/>
  <c r="J32" i="12" s="1"/>
  <c r="K32" i="12" s="1"/>
  <c r="T32" i="12" s="1"/>
  <c r="I21" i="12"/>
  <c r="J21" i="12" s="1"/>
  <c r="K21" i="12" s="1"/>
  <c r="T21" i="12" s="1"/>
  <c r="I24" i="12"/>
  <c r="J24" i="12" s="1"/>
  <c r="K24" i="12" s="1"/>
  <c r="T24" i="12" s="1"/>
  <c r="F157" i="12"/>
  <c r="I157" i="12" s="1"/>
  <c r="J157" i="12" s="1"/>
  <c r="K157" i="12" s="1"/>
  <c r="T157" i="12" s="1"/>
  <c r="F153" i="12"/>
  <c r="I153" i="12" s="1"/>
  <c r="J153" i="12" s="1"/>
  <c r="K153" i="12" s="1"/>
  <c r="T153" i="12" s="1"/>
  <c r="F145" i="12"/>
  <c r="I145" i="12" s="1"/>
  <c r="J145" i="12" s="1"/>
  <c r="K145" i="12" s="1"/>
  <c r="T145" i="12" s="1"/>
  <c r="F137" i="12"/>
  <c r="I137" i="12" s="1"/>
  <c r="J137" i="12" s="1"/>
  <c r="K137" i="12" s="1"/>
  <c r="T137" i="12" s="1"/>
  <c r="F129" i="12"/>
  <c r="I129" i="12" s="1"/>
  <c r="J129" i="12" s="1"/>
  <c r="K129" i="12" s="1"/>
  <c r="T129" i="12" s="1"/>
  <c r="F121" i="12"/>
  <c r="I121" i="12" s="1"/>
  <c r="J121" i="12" s="1"/>
  <c r="K121" i="12" s="1"/>
  <c r="T121" i="12" s="1"/>
  <c r="F113" i="12"/>
  <c r="I113" i="12" s="1"/>
  <c r="J113" i="12" s="1"/>
  <c r="K113" i="12" s="1"/>
  <c r="T113" i="12" s="1"/>
  <c r="F109" i="12"/>
  <c r="I109" i="12" s="1"/>
  <c r="J109" i="12" s="1"/>
  <c r="K109" i="12" s="1"/>
  <c r="T109" i="12" s="1"/>
  <c r="F101" i="12"/>
  <c r="I101" i="12" s="1"/>
  <c r="J101" i="12" s="1"/>
  <c r="K101" i="12" s="1"/>
  <c r="T101" i="12" s="1"/>
  <c r="F93" i="12"/>
  <c r="I93" i="12" s="1"/>
  <c r="J93" i="12" s="1"/>
  <c r="K93" i="12" s="1"/>
  <c r="T93" i="12" s="1"/>
  <c r="F85" i="12"/>
  <c r="I85" i="12" s="1"/>
  <c r="J85" i="12" s="1"/>
  <c r="K85" i="12" s="1"/>
  <c r="T85" i="12" s="1"/>
  <c r="F81" i="12"/>
  <c r="I81" i="12" s="1"/>
  <c r="J81" i="12" s="1"/>
  <c r="K81" i="12" s="1"/>
  <c r="T81" i="12" s="1"/>
  <c r="F57" i="12"/>
  <c r="I57" i="12" s="1"/>
  <c r="J57" i="12" s="1"/>
  <c r="K57" i="12" s="1"/>
  <c r="T57" i="12" s="1"/>
  <c r="F52" i="12"/>
  <c r="I52" i="12" s="1"/>
  <c r="J52" i="12" s="1"/>
  <c r="K52" i="12" s="1"/>
  <c r="T52" i="12" s="1"/>
  <c r="F51" i="12"/>
  <c r="I51" i="12" s="1"/>
  <c r="J51" i="12" s="1"/>
  <c r="K51" i="12" s="1"/>
  <c r="T51" i="12" s="1"/>
  <c r="F47" i="12"/>
  <c r="I47" i="12" s="1"/>
  <c r="J47" i="12" s="1"/>
  <c r="K47" i="12" s="1"/>
  <c r="T47" i="12" s="1"/>
  <c r="F39" i="12"/>
  <c r="I39" i="12" s="1"/>
  <c r="J39" i="12" s="1"/>
  <c r="K39" i="12" s="1"/>
  <c r="T39" i="12" s="1"/>
  <c r="F158" i="12"/>
  <c r="I158" i="12" s="1"/>
  <c r="J158" i="12" s="1"/>
  <c r="K158" i="12" s="1"/>
  <c r="T158" i="12" s="1"/>
  <c r="F154" i="12"/>
  <c r="I154" i="12" s="1"/>
  <c r="J154" i="12" s="1"/>
  <c r="K154" i="12" s="1"/>
  <c r="T154" i="12" s="1"/>
  <c r="F150" i="12"/>
  <c r="I150" i="12" s="1"/>
  <c r="J150" i="12" s="1"/>
  <c r="K150" i="12" s="1"/>
  <c r="T150" i="12" s="1"/>
  <c r="F146" i="12"/>
  <c r="I146" i="12" s="1"/>
  <c r="J146" i="12" s="1"/>
  <c r="K146" i="12" s="1"/>
  <c r="T146" i="12" s="1"/>
  <c r="F142" i="12"/>
  <c r="I142" i="12" s="1"/>
  <c r="J142" i="12" s="1"/>
  <c r="K142" i="12" s="1"/>
  <c r="T142" i="12" s="1"/>
  <c r="F138" i="12"/>
  <c r="I138" i="12" s="1"/>
  <c r="J138" i="12" s="1"/>
  <c r="K138" i="12" s="1"/>
  <c r="T138" i="12" s="1"/>
  <c r="F134" i="12"/>
  <c r="I134" i="12" s="1"/>
  <c r="J134" i="12" s="1"/>
  <c r="K134" i="12" s="1"/>
  <c r="T134" i="12" s="1"/>
  <c r="F130" i="12"/>
  <c r="I130" i="12" s="1"/>
  <c r="J130" i="12" s="1"/>
  <c r="K130" i="12" s="1"/>
  <c r="T130" i="12" s="1"/>
  <c r="F126" i="12"/>
  <c r="I126" i="12" s="1"/>
  <c r="J126" i="12" s="1"/>
  <c r="K126" i="12" s="1"/>
  <c r="T126" i="12" s="1"/>
  <c r="F122" i="12"/>
  <c r="I122" i="12" s="1"/>
  <c r="J122" i="12" s="1"/>
  <c r="K122" i="12" s="1"/>
  <c r="T122" i="12" s="1"/>
  <c r="F118" i="12"/>
  <c r="I118" i="12" s="1"/>
  <c r="J118" i="12" s="1"/>
  <c r="K118" i="12" s="1"/>
  <c r="T118" i="12" s="1"/>
  <c r="F114" i="12"/>
  <c r="I114" i="12" s="1"/>
  <c r="J114" i="12" s="1"/>
  <c r="K114" i="12" s="1"/>
  <c r="T114" i="12" s="1"/>
  <c r="F110" i="12"/>
  <c r="I110" i="12" s="1"/>
  <c r="J110" i="12" s="1"/>
  <c r="K110" i="12" s="1"/>
  <c r="T110" i="12" s="1"/>
  <c r="F106" i="12"/>
  <c r="I106" i="12" s="1"/>
  <c r="J106" i="12" s="1"/>
  <c r="K106" i="12" s="1"/>
  <c r="T106" i="12" s="1"/>
  <c r="F102" i="12"/>
  <c r="I102" i="12" s="1"/>
  <c r="J102" i="12" s="1"/>
  <c r="K102" i="12" s="1"/>
  <c r="T102" i="12" s="1"/>
  <c r="F98" i="12"/>
  <c r="I98" i="12" s="1"/>
  <c r="J98" i="12" s="1"/>
  <c r="K98" i="12" s="1"/>
  <c r="T98" i="12" s="1"/>
  <c r="F94" i="12"/>
  <c r="I94" i="12" s="1"/>
  <c r="J94" i="12" s="1"/>
  <c r="K94" i="12" s="1"/>
  <c r="T94" i="12" s="1"/>
  <c r="F90" i="12"/>
  <c r="I90" i="12" s="1"/>
  <c r="J90" i="12" s="1"/>
  <c r="K90" i="12" s="1"/>
  <c r="T90" i="12" s="1"/>
  <c r="F86" i="12"/>
  <c r="I86" i="12" s="1"/>
  <c r="J86" i="12" s="1"/>
  <c r="K86" i="12" s="1"/>
  <c r="T86" i="12" s="1"/>
  <c r="F82" i="12"/>
  <c r="I82" i="12" s="1"/>
  <c r="J82" i="12" s="1"/>
  <c r="K82" i="12" s="1"/>
  <c r="T82" i="12" s="1"/>
  <c r="F78" i="12"/>
  <c r="I78" i="12" s="1"/>
  <c r="J78" i="12" s="1"/>
  <c r="K78" i="12" s="1"/>
  <c r="T78" i="12" s="1"/>
  <c r="F74" i="12"/>
  <c r="I74" i="12" s="1"/>
  <c r="J74" i="12" s="1"/>
  <c r="K74" i="12" s="1"/>
  <c r="T74" i="12" s="1"/>
  <c r="F70" i="12"/>
  <c r="I70" i="12" s="1"/>
  <c r="J70" i="12" s="1"/>
  <c r="K70" i="12" s="1"/>
  <c r="T70" i="12" s="1"/>
  <c r="F66" i="12"/>
  <c r="I66" i="12" s="1"/>
  <c r="J66" i="12" s="1"/>
  <c r="K66" i="12" s="1"/>
  <c r="T66" i="12" s="1"/>
  <c r="F62" i="12"/>
  <c r="I62" i="12" s="1"/>
  <c r="J62" i="12" s="1"/>
  <c r="K62" i="12" s="1"/>
  <c r="T62" i="12" s="1"/>
  <c r="F58" i="12"/>
  <c r="I58" i="12" s="1"/>
  <c r="J58" i="12" s="1"/>
  <c r="K58" i="12" s="1"/>
  <c r="T58" i="12" s="1"/>
  <c r="F149" i="12"/>
  <c r="I149" i="12" s="1"/>
  <c r="J149" i="12" s="1"/>
  <c r="K149" i="12" s="1"/>
  <c r="T149" i="12" s="1"/>
  <c r="F141" i="12"/>
  <c r="I141" i="12" s="1"/>
  <c r="J141" i="12" s="1"/>
  <c r="K141" i="12" s="1"/>
  <c r="T141" i="12" s="1"/>
  <c r="F133" i="12"/>
  <c r="I133" i="12" s="1"/>
  <c r="J133" i="12" s="1"/>
  <c r="K133" i="12" s="1"/>
  <c r="T133" i="12" s="1"/>
  <c r="F125" i="12"/>
  <c r="I125" i="12" s="1"/>
  <c r="J125" i="12" s="1"/>
  <c r="K125" i="12" s="1"/>
  <c r="T125" i="12" s="1"/>
  <c r="F117" i="12"/>
  <c r="I117" i="12" s="1"/>
  <c r="J117" i="12" s="1"/>
  <c r="K117" i="12" s="1"/>
  <c r="T117" i="12" s="1"/>
  <c r="F105" i="12"/>
  <c r="I105" i="12" s="1"/>
  <c r="J105" i="12" s="1"/>
  <c r="K105" i="12" s="1"/>
  <c r="T105" i="12" s="1"/>
  <c r="F97" i="12"/>
  <c r="I97" i="12" s="1"/>
  <c r="J97" i="12" s="1"/>
  <c r="K97" i="12" s="1"/>
  <c r="T97" i="12" s="1"/>
  <c r="F89" i="12"/>
  <c r="I89" i="12" s="1"/>
  <c r="J89" i="12" s="1"/>
  <c r="K89" i="12" s="1"/>
  <c r="T89" i="12" s="1"/>
  <c r="F77" i="12"/>
  <c r="I77" i="12" s="1"/>
  <c r="J77" i="12" s="1"/>
  <c r="K77" i="12" s="1"/>
  <c r="T77" i="12" s="1"/>
  <c r="F73" i="12"/>
  <c r="I73" i="12" s="1"/>
  <c r="J73" i="12" s="1"/>
  <c r="K73" i="12" s="1"/>
  <c r="T73" i="12" s="1"/>
  <c r="F69" i="12"/>
  <c r="I69" i="12" s="1"/>
  <c r="J69" i="12" s="1"/>
  <c r="K69" i="12" s="1"/>
  <c r="T69" i="12" s="1"/>
  <c r="F65" i="12"/>
  <c r="I65" i="12" s="1"/>
  <c r="J65" i="12" s="1"/>
  <c r="K65" i="12" s="1"/>
  <c r="T65" i="12" s="1"/>
  <c r="F61" i="12"/>
  <c r="I61" i="12" s="1"/>
  <c r="J61" i="12" s="1"/>
  <c r="K61" i="12" s="1"/>
  <c r="T61" i="12" s="1"/>
  <c r="F53" i="12"/>
  <c r="I53" i="12" s="1"/>
  <c r="J53" i="12" s="1"/>
  <c r="K53" i="12" s="1"/>
  <c r="T53" i="12" s="1"/>
  <c r="F50" i="12"/>
  <c r="I50" i="12" s="1"/>
  <c r="J50" i="12" s="1"/>
  <c r="K50" i="12" s="1"/>
  <c r="T50" i="12" s="1"/>
  <c r="F42" i="12"/>
  <c r="I42" i="12" s="1"/>
  <c r="J42" i="12" s="1"/>
  <c r="K42" i="12" s="1"/>
  <c r="T42" i="12" s="1"/>
  <c r="F38" i="12"/>
  <c r="I38" i="12" s="1"/>
  <c r="J38" i="12" s="1"/>
  <c r="K38" i="12" s="1"/>
  <c r="T38" i="12" s="1"/>
  <c r="F155" i="12"/>
  <c r="I155" i="12" s="1"/>
  <c r="J155" i="12" s="1"/>
  <c r="K155" i="12" s="1"/>
  <c r="T155" i="12" s="1"/>
  <c r="F147" i="12"/>
  <c r="I147" i="12" s="1"/>
  <c r="J147" i="12" s="1"/>
  <c r="K147" i="12" s="1"/>
  <c r="T147" i="12" s="1"/>
  <c r="F139" i="12"/>
  <c r="I139" i="12" s="1"/>
  <c r="J139" i="12" s="1"/>
  <c r="K139" i="12" s="1"/>
  <c r="T139" i="12" s="1"/>
  <c r="F127" i="12"/>
  <c r="I127" i="12" s="1"/>
  <c r="J127" i="12" s="1"/>
  <c r="K127" i="12" s="1"/>
  <c r="T127" i="12" s="1"/>
  <c r="F119" i="12"/>
  <c r="I119" i="12" s="1"/>
  <c r="J119" i="12" s="1"/>
  <c r="K119" i="12" s="1"/>
  <c r="T119" i="12" s="1"/>
  <c r="F111" i="12"/>
  <c r="I111" i="12" s="1"/>
  <c r="J111" i="12" s="1"/>
  <c r="K111" i="12" s="1"/>
  <c r="T111" i="12" s="1"/>
  <c r="F103" i="12"/>
  <c r="I103" i="12" s="1"/>
  <c r="J103" i="12" s="1"/>
  <c r="K103" i="12" s="1"/>
  <c r="T103" i="12" s="1"/>
  <c r="F95" i="12"/>
  <c r="I95" i="12" s="1"/>
  <c r="J95" i="12" s="1"/>
  <c r="K95" i="12" s="1"/>
  <c r="T95" i="12" s="1"/>
  <c r="F87" i="12"/>
  <c r="I87" i="12" s="1"/>
  <c r="J87" i="12" s="1"/>
  <c r="K87" i="12" s="1"/>
  <c r="T87" i="12" s="1"/>
  <c r="F75" i="12"/>
  <c r="I75" i="12" s="1"/>
  <c r="J75" i="12" s="1"/>
  <c r="K75" i="12" s="1"/>
  <c r="T75" i="12" s="1"/>
  <c r="F67" i="12"/>
  <c r="I67" i="12" s="1"/>
  <c r="J67" i="12" s="1"/>
  <c r="K67" i="12" s="1"/>
  <c r="T67" i="12" s="1"/>
  <c r="F59" i="12"/>
  <c r="I59" i="12" s="1"/>
  <c r="J59" i="12" s="1"/>
  <c r="K59" i="12" s="1"/>
  <c r="T59" i="12" s="1"/>
  <c r="F43" i="12"/>
  <c r="I43" i="12" s="1"/>
  <c r="J43" i="12" s="1"/>
  <c r="K43" i="12" s="1"/>
  <c r="T43" i="12" s="1"/>
  <c r="F45" i="12"/>
  <c r="I45" i="12" s="1"/>
  <c r="J45" i="12" s="1"/>
  <c r="K45" i="12" s="1"/>
  <c r="T45" i="12" s="1"/>
  <c r="F156" i="12"/>
  <c r="I156" i="12" s="1"/>
  <c r="J156" i="12" s="1"/>
  <c r="K156" i="12" s="1"/>
  <c r="T156" i="12" s="1"/>
  <c r="F148" i="12"/>
  <c r="I148" i="12" s="1"/>
  <c r="J148" i="12" s="1"/>
  <c r="K148" i="12" s="1"/>
  <c r="T148" i="12" s="1"/>
  <c r="F140" i="12"/>
  <c r="I140" i="12" s="1"/>
  <c r="J140" i="12" s="1"/>
  <c r="K140" i="12" s="1"/>
  <c r="T140" i="12" s="1"/>
  <c r="F132" i="12"/>
  <c r="I132" i="12" s="1"/>
  <c r="J132" i="12" s="1"/>
  <c r="K132" i="12" s="1"/>
  <c r="T132" i="12" s="1"/>
  <c r="F124" i="12"/>
  <c r="I124" i="12" s="1"/>
  <c r="J124" i="12" s="1"/>
  <c r="K124" i="12" s="1"/>
  <c r="T124" i="12" s="1"/>
  <c r="F116" i="12"/>
  <c r="I116" i="12" s="1"/>
  <c r="J116" i="12" s="1"/>
  <c r="K116" i="12" s="1"/>
  <c r="T116" i="12" s="1"/>
  <c r="F108" i="12"/>
  <c r="I108" i="12" s="1"/>
  <c r="J108" i="12" s="1"/>
  <c r="K108" i="12" s="1"/>
  <c r="T108" i="12" s="1"/>
  <c r="F100" i="12"/>
  <c r="I100" i="12" s="1"/>
  <c r="J100" i="12" s="1"/>
  <c r="K100" i="12" s="1"/>
  <c r="T100" i="12" s="1"/>
  <c r="F92" i="12"/>
  <c r="I92" i="12" s="1"/>
  <c r="J92" i="12" s="1"/>
  <c r="K92" i="12" s="1"/>
  <c r="T92" i="12" s="1"/>
  <c r="F84" i="12"/>
  <c r="I84" i="12" s="1"/>
  <c r="J84" i="12" s="1"/>
  <c r="K84" i="12" s="1"/>
  <c r="T84" i="12" s="1"/>
  <c r="F76" i="12"/>
  <c r="I76" i="12" s="1"/>
  <c r="J76" i="12" s="1"/>
  <c r="K76" i="12" s="1"/>
  <c r="T76" i="12" s="1"/>
  <c r="F68" i="12"/>
  <c r="I68" i="12" s="1"/>
  <c r="J68" i="12" s="1"/>
  <c r="K68" i="12" s="1"/>
  <c r="T68" i="12" s="1"/>
  <c r="F60" i="12"/>
  <c r="I60" i="12" s="1"/>
  <c r="J60" i="12" s="1"/>
  <c r="K60" i="12" s="1"/>
  <c r="T60" i="12" s="1"/>
  <c r="F44" i="12"/>
  <c r="I44" i="12" s="1"/>
  <c r="J44" i="12" s="1"/>
  <c r="K44" i="12" s="1"/>
  <c r="T44" i="12" s="1"/>
  <c r="F36" i="12"/>
  <c r="I36" i="12" s="1"/>
  <c r="J36" i="12" s="1"/>
  <c r="K36" i="12" s="1"/>
  <c r="T36" i="12" s="1"/>
  <c r="F54" i="12"/>
  <c r="I54" i="12" s="1"/>
  <c r="J54" i="12" s="1"/>
  <c r="K54" i="12" s="1"/>
  <c r="T54" i="12" s="1"/>
  <c r="F46" i="12"/>
  <c r="I46" i="12" s="1"/>
  <c r="J46" i="12" s="1"/>
  <c r="K46" i="12" s="1"/>
  <c r="T46" i="12" s="1"/>
  <c r="F34" i="12"/>
  <c r="I34" i="12" s="1"/>
  <c r="J34" i="12" s="1"/>
  <c r="K34" i="12" s="1"/>
  <c r="T34" i="12" s="1"/>
  <c r="F151" i="12"/>
  <c r="I151" i="12" s="1"/>
  <c r="J151" i="12" s="1"/>
  <c r="K151" i="12" s="1"/>
  <c r="T151" i="12" s="1"/>
  <c r="F143" i="12"/>
  <c r="I143" i="12" s="1"/>
  <c r="J143" i="12" s="1"/>
  <c r="K143" i="12" s="1"/>
  <c r="T143" i="12" s="1"/>
  <c r="F135" i="12"/>
  <c r="I135" i="12" s="1"/>
  <c r="J135" i="12" s="1"/>
  <c r="K135" i="12" s="1"/>
  <c r="T135" i="12" s="1"/>
  <c r="F131" i="12"/>
  <c r="I131" i="12" s="1"/>
  <c r="J131" i="12" s="1"/>
  <c r="K131" i="12" s="1"/>
  <c r="T131" i="12" s="1"/>
  <c r="F123" i="12"/>
  <c r="I123" i="12" s="1"/>
  <c r="J123" i="12" s="1"/>
  <c r="K123" i="12" s="1"/>
  <c r="T123" i="12" s="1"/>
  <c r="F115" i="12"/>
  <c r="I115" i="12" s="1"/>
  <c r="J115" i="12" s="1"/>
  <c r="K115" i="12" s="1"/>
  <c r="T115" i="12" s="1"/>
  <c r="F107" i="12"/>
  <c r="I107" i="12" s="1"/>
  <c r="J107" i="12" s="1"/>
  <c r="K107" i="12" s="1"/>
  <c r="T107" i="12" s="1"/>
  <c r="F99" i="12"/>
  <c r="I99" i="12" s="1"/>
  <c r="J99" i="12" s="1"/>
  <c r="K99" i="12" s="1"/>
  <c r="T99" i="12" s="1"/>
  <c r="F91" i="12"/>
  <c r="I91" i="12" s="1"/>
  <c r="J91" i="12" s="1"/>
  <c r="K91" i="12" s="1"/>
  <c r="T91" i="12" s="1"/>
  <c r="F83" i="12"/>
  <c r="I83" i="12" s="1"/>
  <c r="J83" i="12" s="1"/>
  <c r="K83" i="12" s="1"/>
  <c r="T83" i="12" s="1"/>
  <c r="F79" i="12"/>
  <c r="I79" i="12" s="1"/>
  <c r="J79" i="12" s="1"/>
  <c r="K79" i="12" s="1"/>
  <c r="T79" i="12" s="1"/>
  <c r="F71" i="12"/>
  <c r="I71" i="12" s="1"/>
  <c r="J71" i="12" s="1"/>
  <c r="K71" i="12" s="1"/>
  <c r="T71" i="12" s="1"/>
  <c r="F63" i="12"/>
  <c r="I63" i="12" s="1"/>
  <c r="J63" i="12" s="1"/>
  <c r="K63" i="12" s="1"/>
  <c r="T63" i="12" s="1"/>
  <c r="F55" i="12"/>
  <c r="I55" i="12" s="1"/>
  <c r="J55" i="12" s="1"/>
  <c r="K55" i="12" s="1"/>
  <c r="T55" i="12" s="1"/>
  <c r="F35" i="12"/>
  <c r="I35" i="12" s="1"/>
  <c r="J35" i="12" s="1"/>
  <c r="K35" i="12" s="1"/>
  <c r="T35" i="12" s="1"/>
  <c r="H9" i="14"/>
  <c r="L9" i="14"/>
  <c r="B10" i="14"/>
  <c r="P14" i="14"/>
  <c r="F42" i="14"/>
  <c r="P42" i="14" s="1"/>
  <c r="A45" i="14"/>
  <c r="B44" i="14"/>
  <c r="C44" i="14" s="1"/>
  <c r="E44" i="14" s="1"/>
  <c r="C9" i="14"/>
  <c r="I9" i="14"/>
  <c r="B43" i="14"/>
  <c r="C43" i="14" s="1"/>
  <c r="E43" i="14" s="1"/>
  <c r="H116" i="14"/>
  <c r="M116" i="14" s="1"/>
  <c r="F33" i="12"/>
  <c r="I33" i="12" s="1"/>
  <c r="J33" i="12" s="1"/>
  <c r="K33" i="12" s="1"/>
  <c r="T33" i="12" s="1"/>
  <c r="O6" i="13"/>
  <c r="O19" i="13"/>
  <c r="N18" i="13"/>
  <c r="P18" i="13" s="1"/>
  <c r="N9" i="13"/>
  <c r="P9" i="13" s="1"/>
  <c r="O15" i="13"/>
  <c r="N17" i="13"/>
  <c r="P17" i="13" s="1"/>
  <c r="N11" i="13"/>
  <c r="P11" i="13" s="1"/>
  <c r="O13" i="13"/>
  <c r="N4" i="13"/>
  <c r="P4" i="13" s="1"/>
  <c r="N14" i="13"/>
  <c r="P14" i="13" s="1"/>
  <c r="N5" i="13"/>
  <c r="P5" i="13" s="1"/>
  <c r="N19" i="13"/>
  <c r="P19" i="13" s="1"/>
  <c r="N13" i="13"/>
  <c r="P13" i="13" s="1"/>
  <c r="O20" i="13"/>
  <c r="O9" i="13"/>
  <c r="O17" i="13"/>
  <c r="O12" i="13"/>
  <c r="O5" i="13"/>
  <c r="O21" i="13"/>
  <c r="O16" i="13"/>
  <c r="O11" i="13"/>
  <c r="N21" i="13"/>
  <c r="P21" i="13" s="1"/>
  <c r="N15" i="13"/>
  <c r="P15" i="13" s="1"/>
  <c r="N10" i="13"/>
  <c r="P10" i="13" s="1"/>
  <c r="O4" i="13"/>
  <c r="O18" i="13"/>
  <c r="O14" i="13"/>
  <c r="N20" i="13"/>
  <c r="P20" i="13" s="1"/>
  <c r="N16" i="13"/>
  <c r="P16" i="13" s="1"/>
  <c r="N12" i="13"/>
  <c r="P12" i="13" s="1"/>
  <c r="R11" i="13"/>
  <c r="O7" i="13"/>
  <c r="N7" i="13"/>
  <c r="P7" i="13" s="1"/>
  <c r="R20" i="13"/>
  <c r="R18" i="13"/>
  <c r="R16" i="13"/>
  <c r="R14" i="13"/>
  <c r="R12" i="13"/>
  <c r="R19" i="13"/>
  <c r="R15" i="13"/>
  <c r="R21" i="13"/>
  <c r="T21" i="13" s="1"/>
  <c r="R17" i="13"/>
  <c r="R13" i="13"/>
  <c r="D6" i="13"/>
  <c r="J6" i="13"/>
  <c r="L7" i="13"/>
  <c r="H7" i="13"/>
  <c r="B8" i="13"/>
  <c r="K7" i="13"/>
  <c r="G7" i="13"/>
  <c r="J7" i="13"/>
  <c r="D7" i="13"/>
  <c r="I7" i="13"/>
  <c r="C7" i="13"/>
  <c r="H6" i="13"/>
  <c r="L6" i="13"/>
  <c r="C6" i="13"/>
  <c r="I6" i="13"/>
  <c r="G6" i="13"/>
  <c r="K6" i="13"/>
  <c r="I34" i="3"/>
  <c r="T4" i="13" l="1"/>
  <c r="T14" i="13"/>
  <c r="T13" i="13"/>
  <c r="T17" i="13"/>
  <c r="T5" i="13"/>
  <c r="T19" i="13"/>
  <c r="T18" i="13"/>
  <c r="T11" i="13"/>
  <c r="T12" i="13"/>
  <c r="T20" i="13"/>
  <c r="J42" i="14"/>
  <c r="O42" i="14"/>
  <c r="Q42" i="14"/>
  <c r="M131" i="12"/>
  <c r="Q131" i="12" s="1"/>
  <c r="M44" i="12"/>
  <c r="Q44" i="12" s="1"/>
  <c r="M148" i="12"/>
  <c r="Q148" i="12" s="1"/>
  <c r="M95" i="12"/>
  <c r="Q95" i="12" s="1"/>
  <c r="M38" i="12"/>
  <c r="Q38" i="12" s="1"/>
  <c r="M117" i="12"/>
  <c r="Q117" i="12" s="1"/>
  <c r="M70" i="12"/>
  <c r="Q70" i="12" s="1"/>
  <c r="M118" i="12"/>
  <c r="Q118" i="12" s="1"/>
  <c r="M150" i="12"/>
  <c r="Q150" i="12" s="1"/>
  <c r="M109" i="12"/>
  <c r="Q109" i="12" s="1"/>
  <c r="M28" i="12"/>
  <c r="Q28" i="12" s="1"/>
  <c r="M128" i="12"/>
  <c r="Q128" i="12" s="1"/>
  <c r="M31" i="12"/>
  <c r="Q31" i="12" s="1"/>
  <c r="M35" i="12"/>
  <c r="Q35" i="12" s="1"/>
  <c r="M107" i="12"/>
  <c r="Q107" i="12" s="1"/>
  <c r="M46" i="12"/>
  <c r="Q46" i="12" s="1"/>
  <c r="M124" i="12"/>
  <c r="Q124" i="12" s="1"/>
  <c r="M67" i="12"/>
  <c r="Q67" i="12" s="1"/>
  <c r="M139" i="12"/>
  <c r="Q139" i="12" s="1"/>
  <c r="M89" i="12"/>
  <c r="Q89" i="12" s="1"/>
  <c r="M58" i="12"/>
  <c r="Q58" i="12" s="1"/>
  <c r="M90" i="12"/>
  <c r="Q90" i="12" s="1"/>
  <c r="M138" i="12"/>
  <c r="Q138" i="12" s="1"/>
  <c r="M51" i="12"/>
  <c r="Q51" i="12" s="1"/>
  <c r="M113" i="12"/>
  <c r="Q113" i="12" s="1"/>
  <c r="M21" i="12"/>
  <c r="Q21" i="12" s="1"/>
  <c r="M56" i="12"/>
  <c r="Q56" i="12" s="1"/>
  <c r="M40" i="12"/>
  <c r="Q40" i="12" s="1"/>
  <c r="M55" i="12"/>
  <c r="Q55" i="12" s="1"/>
  <c r="M115" i="12"/>
  <c r="Q115" i="12" s="1"/>
  <c r="M54" i="12"/>
  <c r="Q54" i="12" s="1"/>
  <c r="M68" i="12"/>
  <c r="Q68" i="12" s="1"/>
  <c r="M100" i="12"/>
  <c r="Q100" i="12" s="1"/>
  <c r="M132" i="12"/>
  <c r="Q132" i="12" s="1"/>
  <c r="M45" i="12"/>
  <c r="Q45" i="12" s="1"/>
  <c r="M75" i="12"/>
  <c r="Q75" i="12" s="1"/>
  <c r="M111" i="12"/>
  <c r="Q111" i="12" s="1"/>
  <c r="M147" i="12"/>
  <c r="Q147" i="12" s="1"/>
  <c r="M50" i="12"/>
  <c r="Q50" i="12" s="1"/>
  <c r="M69" i="12"/>
  <c r="Q69" i="12" s="1"/>
  <c r="M97" i="12"/>
  <c r="Q97" i="12" s="1"/>
  <c r="M133" i="12"/>
  <c r="Q133" i="12" s="1"/>
  <c r="M62" i="12"/>
  <c r="Q62" i="12" s="1"/>
  <c r="M78" i="12"/>
  <c r="Q78" i="12" s="1"/>
  <c r="M94" i="12"/>
  <c r="Q94" i="12" s="1"/>
  <c r="M110" i="12"/>
  <c r="Q110" i="12" s="1"/>
  <c r="M126" i="12"/>
  <c r="Q126" i="12" s="1"/>
  <c r="M142" i="12"/>
  <c r="Q142" i="12" s="1"/>
  <c r="M158" i="12"/>
  <c r="Q158" i="12" s="1"/>
  <c r="M52" i="12"/>
  <c r="Q52" i="12" s="1"/>
  <c r="M93" i="12"/>
  <c r="Q93" i="12" s="1"/>
  <c r="M121" i="12"/>
  <c r="Q121" i="12" s="1"/>
  <c r="M153" i="12"/>
  <c r="Q153" i="12" s="1"/>
  <c r="M32" i="12"/>
  <c r="Q32" i="12" s="1"/>
  <c r="M80" i="12"/>
  <c r="Q80" i="12" s="1"/>
  <c r="M64" i="12"/>
  <c r="Q64" i="12" s="1"/>
  <c r="M72" i="12"/>
  <c r="Q72" i="12" s="1"/>
  <c r="M136" i="12"/>
  <c r="Q136" i="12" s="1"/>
  <c r="M27" i="12"/>
  <c r="Q27" i="12" s="1"/>
  <c r="M48" i="12"/>
  <c r="Q48" i="12" s="1"/>
  <c r="M37" i="12"/>
  <c r="Q37" i="12" s="1"/>
  <c r="M71" i="12"/>
  <c r="Q71" i="12" s="1"/>
  <c r="M99" i="12"/>
  <c r="Q99" i="12" s="1"/>
  <c r="M34" i="12"/>
  <c r="Q34" i="12" s="1"/>
  <c r="M84" i="12"/>
  <c r="Q84" i="12" s="1"/>
  <c r="M116" i="12"/>
  <c r="Q116" i="12" s="1"/>
  <c r="M59" i="12"/>
  <c r="Q59" i="12" s="1"/>
  <c r="M127" i="12"/>
  <c r="Q127" i="12" s="1"/>
  <c r="M61" i="12"/>
  <c r="Q61" i="12" s="1"/>
  <c r="M77" i="12"/>
  <c r="Q77" i="12" s="1"/>
  <c r="M149" i="12"/>
  <c r="Q149" i="12" s="1"/>
  <c r="M86" i="12"/>
  <c r="Q86" i="12" s="1"/>
  <c r="M102" i="12"/>
  <c r="Q102" i="12" s="1"/>
  <c r="M134" i="12"/>
  <c r="Q134" i="12" s="1"/>
  <c r="M47" i="12"/>
  <c r="Q47" i="12" s="1"/>
  <c r="M81" i="12"/>
  <c r="Q81" i="12" s="1"/>
  <c r="M137" i="12"/>
  <c r="Q137" i="12" s="1"/>
  <c r="M24" i="12"/>
  <c r="Q24" i="12" s="1"/>
  <c r="M144" i="12"/>
  <c r="Q144" i="12" s="1"/>
  <c r="M104" i="12"/>
  <c r="Q104" i="12" s="1"/>
  <c r="M30" i="12"/>
  <c r="Q30" i="12" s="1"/>
  <c r="M20" i="12"/>
  <c r="Q20" i="12" s="1"/>
  <c r="M33" i="12"/>
  <c r="Q33" i="12" s="1"/>
  <c r="M79" i="12"/>
  <c r="Q79" i="12" s="1"/>
  <c r="M135" i="12"/>
  <c r="Q135" i="12" s="1"/>
  <c r="M60" i="12"/>
  <c r="Q60" i="12" s="1"/>
  <c r="M92" i="12"/>
  <c r="Q92" i="12" s="1"/>
  <c r="M156" i="12"/>
  <c r="Q156" i="12" s="1"/>
  <c r="M103" i="12"/>
  <c r="Q103" i="12" s="1"/>
  <c r="M42" i="12"/>
  <c r="Q42" i="12" s="1"/>
  <c r="M65" i="12"/>
  <c r="Q65" i="12" s="1"/>
  <c r="M125" i="12"/>
  <c r="Q125" i="12" s="1"/>
  <c r="M74" i="12"/>
  <c r="Q74" i="12" s="1"/>
  <c r="M106" i="12"/>
  <c r="Q106" i="12" s="1"/>
  <c r="M122" i="12"/>
  <c r="Q122" i="12" s="1"/>
  <c r="M154" i="12"/>
  <c r="Q154" i="12" s="1"/>
  <c r="M85" i="12"/>
  <c r="Q85" i="12" s="1"/>
  <c r="M145" i="12"/>
  <c r="Q145" i="12" s="1"/>
  <c r="M26" i="12"/>
  <c r="Q26" i="12" s="1"/>
  <c r="M19" i="12"/>
  <c r="Q19" i="12" s="1"/>
  <c r="M120" i="12"/>
  <c r="Q120" i="12" s="1"/>
  <c r="M23" i="12"/>
  <c r="Q23" i="12" s="1"/>
  <c r="M25" i="12"/>
  <c r="Q25" i="12" s="1"/>
  <c r="M83" i="12"/>
  <c r="Q83" i="12" s="1"/>
  <c r="M143" i="12"/>
  <c r="Q143" i="12" s="1"/>
  <c r="M63" i="12"/>
  <c r="Q63" i="12" s="1"/>
  <c r="M91" i="12"/>
  <c r="Q91" i="12" s="1"/>
  <c r="M123" i="12"/>
  <c r="Q123" i="12" s="1"/>
  <c r="M151" i="12"/>
  <c r="Q151" i="12" s="1"/>
  <c r="M36" i="12"/>
  <c r="Q36" i="12" s="1"/>
  <c r="M76" i="12"/>
  <c r="Q76" i="12" s="1"/>
  <c r="M108" i="12"/>
  <c r="Q108" i="12" s="1"/>
  <c r="M140" i="12"/>
  <c r="Q140" i="12" s="1"/>
  <c r="M43" i="12"/>
  <c r="Q43" i="12" s="1"/>
  <c r="M87" i="12"/>
  <c r="Q87" i="12" s="1"/>
  <c r="M119" i="12"/>
  <c r="Q119" i="12" s="1"/>
  <c r="M155" i="12"/>
  <c r="Q155" i="12" s="1"/>
  <c r="M53" i="12"/>
  <c r="Q53" i="12" s="1"/>
  <c r="M73" i="12"/>
  <c r="Q73" i="12" s="1"/>
  <c r="M105" i="12"/>
  <c r="Q105" i="12" s="1"/>
  <c r="M141" i="12"/>
  <c r="Q141" i="12" s="1"/>
  <c r="M66" i="12"/>
  <c r="Q66" i="12" s="1"/>
  <c r="M82" i="12"/>
  <c r="Q82" i="12" s="1"/>
  <c r="M98" i="12"/>
  <c r="Q98" i="12" s="1"/>
  <c r="M114" i="12"/>
  <c r="Q114" i="12" s="1"/>
  <c r="M130" i="12"/>
  <c r="Q130" i="12" s="1"/>
  <c r="M146" i="12"/>
  <c r="Q146" i="12" s="1"/>
  <c r="M39" i="12"/>
  <c r="Q39" i="12" s="1"/>
  <c r="M57" i="12"/>
  <c r="Q57" i="12" s="1"/>
  <c r="M101" i="12"/>
  <c r="Q101" i="12" s="1"/>
  <c r="M129" i="12"/>
  <c r="Q129" i="12" s="1"/>
  <c r="M157" i="12"/>
  <c r="Q157" i="12" s="1"/>
  <c r="M22" i="12"/>
  <c r="Q22" i="12" s="1"/>
  <c r="M112" i="12"/>
  <c r="Q112" i="12" s="1"/>
  <c r="M96" i="12"/>
  <c r="Q96" i="12" s="1"/>
  <c r="M88" i="12"/>
  <c r="Q88" i="12" s="1"/>
  <c r="M152" i="12"/>
  <c r="Q152" i="12" s="1"/>
  <c r="M29" i="12"/>
  <c r="Q29" i="12" s="1"/>
  <c r="M49" i="12"/>
  <c r="Q49" i="12" s="1"/>
  <c r="M41" i="12"/>
  <c r="Q41" i="12" s="1"/>
  <c r="P9" i="14"/>
  <c r="K42" i="14"/>
  <c r="M42" i="14"/>
  <c r="F43" i="14"/>
  <c r="T43" i="14" s="1"/>
  <c r="T72" i="14" s="1"/>
  <c r="F44" i="14"/>
  <c r="O44" i="14" s="1"/>
  <c r="O73" i="14" s="1"/>
  <c r="O10" i="14"/>
  <c r="Q10" i="14" s="1"/>
  <c r="B11" i="14"/>
  <c r="I10" i="14"/>
  <c r="C10" i="14"/>
  <c r="K10" i="14"/>
  <c r="L10" i="14"/>
  <c r="H10" i="14"/>
  <c r="G10" i="14"/>
  <c r="J10" i="14"/>
  <c r="D10" i="14"/>
  <c r="N42" i="14"/>
  <c r="S42" i="14"/>
  <c r="T42" i="14"/>
  <c r="L42" i="14"/>
  <c r="A46" i="14"/>
  <c r="B45" i="14"/>
  <c r="C45" i="14" s="1"/>
  <c r="E45" i="14" s="1"/>
  <c r="R42" i="14"/>
  <c r="I42" i="14"/>
  <c r="R6" i="13"/>
  <c r="T6" i="13" s="1"/>
  <c r="T15" i="13"/>
  <c r="T16" i="13"/>
  <c r="Q8" i="13"/>
  <c r="S8" i="13" s="1"/>
  <c r="U8" i="13" s="1"/>
  <c r="N8" i="13"/>
  <c r="P8" i="13" s="1"/>
  <c r="O8" i="13"/>
  <c r="R7" i="13"/>
  <c r="T7" i="13" s="1"/>
  <c r="I8" i="13"/>
  <c r="C8" i="13"/>
  <c r="L8" i="13"/>
  <c r="H8" i="13"/>
  <c r="K8" i="13"/>
  <c r="G8" i="13"/>
  <c r="J8" i="13"/>
  <c r="D8" i="13"/>
  <c r="O34" i="3"/>
  <c r="I43" i="14" l="1"/>
  <c r="I72" i="14" s="1"/>
  <c r="L44" i="14"/>
  <c r="L73" i="14" s="1"/>
  <c r="M44" i="14"/>
  <c r="M73" i="14" s="1"/>
  <c r="J44" i="14"/>
  <c r="J73" i="14" s="1"/>
  <c r="S44" i="14"/>
  <c r="S73" i="14" s="1"/>
  <c r="L43" i="14"/>
  <c r="L72" i="14" s="1"/>
  <c r="Q43" i="14"/>
  <c r="Q72" i="14" s="1"/>
  <c r="S43" i="14"/>
  <c r="S72" i="14" s="1"/>
  <c r="J43" i="14"/>
  <c r="J72" i="14" s="1"/>
  <c r="P43" i="14"/>
  <c r="P72" i="14" s="1"/>
  <c r="O43" i="14"/>
  <c r="O72" i="14" s="1"/>
  <c r="N43" i="14"/>
  <c r="N72" i="14" s="1"/>
  <c r="C10" i="12"/>
  <c r="A47" i="14"/>
  <c r="B46" i="14"/>
  <c r="C46" i="14" s="1"/>
  <c r="E46" i="14" s="1"/>
  <c r="P10" i="14"/>
  <c r="N44" i="14"/>
  <c r="N73" i="14" s="1"/>
  <c r="P44" i="14"/>
  <c r="P73" i="14" s="1"/>
  <c r="Q44" i="14"/>
  <c r="Q73" i="14" s="1"/>
  <c r="K43" i="14"/>
  <c r="K72" i="14" s="1"/>
  <c r="M43" i="14"/>
  <c r="M72" i="14" s="1"/>
  <c r="R43" i="14"/>
  <c r="R72" i="14" s="1"/>
  <c r="O11" i="14"/>
  <c r="Q11" i="14" s="1"/>
  <c r="I11" i="14"/>
  <c r="C11" i="14"/>
  <c r="B12" i="14"/>
  <c r="L11" i="14"/>
  <c r="H11" i="14"/>
  <c r="J11" i="14"/>
  <c r="G11" i="14"/>
  <c r="K11" i="14"/>
  <c r="D11" i="14"/>
  <c r="R44" i="14"/>
  <c r="R73" i="14" s="1"/>
  <c r="T44" i="14"/>
  <c r="T73" i="14" s="1"/>
  <c r="K44" i="14"/>
  <c r="K73" i="14" s="1"/>
  <c r="F45" i="14"/>
  <c r="T45" i="14" s="1"/>
  <c r="I44" i="14"/>
  <c r="I73" i="14" s="1"/>
  <c r="N1" i="13"/>
  <c r="R8" i="13"/>
  <c r="T8" i="13" s="1"/>
  <c r="J9" i="13"/>
  <c r="D9" i="13"/>
  <c r="I9" i="13"/>
  <c r="C9" i="13"/>
  <c r="L9" i="13"/>
  <c r="H9" i="13"/>
  <c r="K9" i="13"/>
  <c r="G9" i="13"/>
  <c r="Q45" i="14" l="1"/>
  <c r="Q74" i="14" s="1"/>
  <c r="R308" i="12"/>
  <c r="R300" i="12"/>
  <c r="R305" i="12"/>
  <c r="R301" i="12"/>
  <c r="R306" i="12"/>
  <c r="R311" i="12"/>
  <c r="R312" i="12"/>
  <c r="R304" i="12"/>
  <c r="R307" i="12"/>
  <c r="R303" i="12"/>
  <c r="R299" i="12"/>
  <c r="R310" i="12"/>
  <c r="R302" i="12"/>
  <c r="R309" i="12"/>
  <c r="R285" i="12"/>
  <c r="R286" i="12"/>
  <c r="R298" i="12"/>
  <c r="R296" i="12"/>
  <c r="R288" i="12"/>
  <c r="R295" i="12"/>
  <c r="R291" i="12"/>
  <c r="R297" i="12"/>
  <c r="R287" i="12"/>
  <c r="R294" i="12"/>
  <c r="R293" i="12"/>
  <c r="R290" i="12"/>
  <c r="R289" i="12"/>
  <c r="R292" i="12"/>
  <c r="R283" i="12"/>
  <c r="R277" i="12"/>
  <c r="R275" i="12"/>
  <c r="R278" i="12"/>
  <c r="R282" i="12"/>
  <c r="R284" i="12"/>
  <c r="R276" i="12"/>
  <c r="R279" i="12"/>
  <c r="R273" i="12"/>
  <c r="R281" i="12"/>
  <c r="R271" i="12"/>
  <c r="R274" i="12"/>
  <c r="R280" i="12"/>
  <c r="R272" i="12"/>
  <c r="R269" i="12"/>
  <c r="R267" i="12"/>
  <c r="R270" i="12"/>
  <c r="R266" i="12"/>
  <c r="R264" i="12"/>
  <c r="R259" i="12"/>
  <c r="R261" i="12"/>
  <c r="R262" i="12"/>
  <c r="R258" i="12"/>
  <c r="R268" i="12"/>
  <c r="R260" i="12"/>
  <c r="R263" i="12"/>
  <c r="R257" i="12"/>
  <c r="R265" i="12"/>
  <c r="R253" i="12"/>
  <c r="R256" i="12"/>
  <c r="R248" i="12"/>
  <c r="R247" i="12"/>
  <c r="R249" i="12"/>
  <c r="R254" i="12"/>
  <c r="R251" i="12"/>
  <c r="R245" i="12"/>
  <c r="R252" i="12"/>
  <c r="R244" i="12"/>
  <c r="R243" i="12"/>
  <c r="R246" i="12"/>
  <c r="R250" i="12"/>
  <c r="R255" i="12"/>
  <c r="R237" i="12"/>
  <c r="R240" i="12"/>
  <c r="R232" i="12"/>
  <c r="R229" i="12"/>
  <c r="R238" i="12"/>
  <c r="R234" i="12"/>
  <c r="R241" i="12"/>
  <c r="R235" i="12"/>
  <c r="R236" i="12"/>
  <c r="R233" i="12"/>
  <c r="R239" i="12"/>
  <c r="R230" i="12"/>
  <c r="R242" i="12"/>
  <c r="R231" i="12"/>
  <c r="R221" i="12"/>
  <c r="R227" i="12"/>
  <c r="R222" i="12"/>
  <c r="R226" i="12"/>
  <c r="R228" i="12"/>
  <c r="R220" i="12"/>
  <c r="R223" i="12"/>
  <c r="R219" i="12"/>
  <c r="R225" i="12"/>
  <c r="R215" i="12"/>
  <c r="R218" i="12"/>
  <c r="R224" i="12"/>
  <c r="R216" i="12"/>
  <c r="R217" i="12"/>
  <c r="R213" i="12"/>
  <c r="R203" i="12"/>
  <c r="R210" i="12"/>
  <c r="R205" i="12"/>
  <c r="R202" i="12"/>
  <c r="R206" i="12"/>
  <c r="R208" i="12"/>
  <c r="R209" i="12"/>
  <c r="R207" i="12"/>
  <c r="R201" i="12"/>
  <c r="R211" i="12"/>
  <c r="R214" i="12"/>
  <c r="R212" i="12"/>
  <c r="R204" i="12"/>
  <c r="R197" i="12"/>
  <c r="R189" i="12"/>
  <c r="R198" i="12"/>
  <c r="R200" i="12"/>
  <c r="R192" i="12"/>
  <c r="R193" i="12"/>
  <c r="R188" i="12"/>
  <c r="R199" i="12"/>
  <c r="R195" i="12"/>
  <c r="R190" i="12"/>
  <c r="R196" i="12"/>
  <c r="R191" i="12"/>
  <c r="R187" i="12"/>
  <c r="R194" i="12"/>
  <c r="R184" i="12"/>
  <c r="R179" i="12"/>
  <c r="R186" i="12"/>
  <c r="R180" i="12"/>
  <c r="R175" i="12"/>
  <c r="R181" i="12"/>
  <c r="R178" i="12"/>
  <c r="R182" i="12"/>
  <c r="R185" i="12"/>
  <c r="R176" i="12"/>
  <c r="R173" i="12"/>
  <c r="R174" i="12"/>
  <c r="R177" i="12"/>
  <c r="R183" i="12"/>
  <c r="R164" i="12"/>
  <c r="R163" i="12"/>
  <c r="R162" i="12"/>
  <c r="R161" i="12"/>
  <c r="R160" i="12"/>
  <c r="R159" i="12"/>
  <c r="R172" i="12"/>
  <c r="R171" i="12"/>
  <c r="R165" i="12"/>
  <c r="R166" i="12"/>
  <c r="R168" i="12"/>
  <c r="R167" i="12"/>
  <c r="R170" i="12"/>
  <c r="R169" i="12"/>
  <c r="R156" i="12"/>
  <c r="R151" i="12"/>
  <c r="R157" i="12"/>
  <c r="R149" i="12"/>
  <c r="R146" i="12"/>
  <c r="R150" i="12"/>
  <c r="R145" i="12"/>
  <c r="R152" i="12"/>
  <c r="R147" i="12"/>
  <c r="R148" i="12"/>
  <c r="R155" i="12"/>
  <c r="R154" i="12"/>
  <c r="R158" i="12"/>
  <c r="R153" i="12"/>
  <c r="R144" i="12"/>
  <c r="R143" i="12"/>
  <c r="R133" i="12"/>
  <c r="R137" i="12"/>
  <c r="R140" i="12"/>
  <c r="R139" i="12"/>
  <c r="R138" i="12"/>
  <c r="R136" i="12"/>
  <c r="R135" i="12"/>
  <c r="R142" i="12"/>
  <c r="R132" i="12"/>
  <c r="R131" i="12"/>
  <c r="R141" i="12"/>
  <c r="R134" i="12"/>
  <c r="R128" i="12"/>
  <c r="R123" i="12"/>
  <c r="R117" i="12"/>
  <c r="R125" i="12"/>
  <c r="R124" i="12"/>
  <c r="R119" i="12"/>
  <c r="R129" i="12"/>
  <c r="R118" i="12"/>
  <c r="R120" i="12"/>
  <c r="R130" i="12"/>
  <c r="R126" i="12"/>
  <c r="R121" i="12"/>
  <c r="R127" i="12"/>
  <c r="R122" i="12"/>
  <c r="R116" i="12"/>
  <c r="R115" i="12"/>
  <c r="R105" i="12"/>
  <c r="R103" i="12"/>
  <c r="R112" i="12"/>
  <c r="R108" i="12"/>
  <c r="R106" i="12"/>
  <c r="R104" i="12"/>
  <c r="R109" i="12"/>
  <c r="R107" i="12"/>
  <c r="R110" i="12"/>
  <c r="R113" i="12"/>
  <c r="R111" i="12"/>
  <c r="R114" i="12"/>
  <c r="R100" i="12"/>
  <c r="R93" i="12"/>
  <c r="R99" i="12"/>
  <c r="R102" i="12"/>
  <c r="R89" i="12"/>
  <c r="R96" i="12"/>
  <c r="R98" i="12"/>
  <c r="R95" i="12"/>
  <c r="R92" i="12"/>
  <c r="R101" i="12"/>
  <c r="R90" i="12"/>
  <c r="R91" i="12"/>
  <c r="R97" i="12"/>
  <c r="R94" i="12"/>
  <c r="R88" i="12"/>
  <c r="R75" i="12"/>
  <c r="R85" i="12"/>
  <c r="R79" i="12"/>
  <c r="R80" i="12"/>
  <c r="R77" i="12"/>
  <c r="R81" i="12"/>
  <c r="R82" i="12"/>
  <c r="R86" i="12"/>
  <c r="R84" i="12"/>
  <c r="R83" i="12"/>
  <c r="R78" i="12"/>
  <c r="R76" i="12"/>
  <c r="R87" i="12"/>
  <c r="R72" i="12"/>
  <c r="R70" i="12"/>
  <c r="R71" i="12"/>
  <c r="R63" i="12"/>
  <c r="R61" i="12"/>
  <c r="R69" i="12"/>
  <c r="R67" i="12"/>
  <c r="R74" i="12"/>
  <c r="R62" i="12"/>
  <c r="R73" i="12"/>
  <c r="R66" i="12"/>
  <c r="R68" i="12"/>
  <c r="R65" i="12"/>
  <c r="R64" i="12"/>
  <c r="R42" i="12"/>
  <c r="R44" i="12"/>
  <c r="R40" i="12"/>
  <c r="R43" i="12"/>
  <c r="R34" i="12"/>
  <c r="R46" i="12"/>
  <c r="R36" i="12"/>
  <c r="R39" i="12"/>
  <c r="R35" i="12"/>
  <c r="R37" i="12"/>
  <c r="R38" i="12"/>
  <c r="R41" i="12"/>
  <c r="R45" i="12"/>
  <c r="R33" i="12"/>
  <c r="R51" i="12"/>
  <c r="R59" i="12"/>
  <c r="R53" i="12"/>
  <c r="R58" i="12"/>
  <c r="R56" i="12"/>
  <c r="R47" i="12"/>
  <c r="R50" i="12"/>
  <c r="R48" i="12"/>
  <c r="R49" i="12"/>
  <c r="R54" i="12"/>
  <c r="R52" i="12"/>
  <c r="R57" i="12"/>
  <c r="R60" i="12"/>
  <c r="R55" i="12"/>
  <c r="T74" i="14"/>
  <c r="K45" i="14"/>
  <c r="K74" i="14" s="1"/>
  <c r="L45" i="14"/>
  <c r="N45" i="14"/>
  <c r="O12" i="14"/>
  <c r="Q12" i="14" s="1"/>
  <c r="I12" i="14"/>
  <c r="C12" i="14"/>
  <c r="B13" i="14"/>
  <c r="L12" i="14"/>
  <c r="H12" i="14"/>
  <c r="D12" i="14"/>
  <c r="J12" i="14"/>
  <c r="K12" i="14"/>
  <c r="G12" i="14"/>
  <c r="F46" i="14"/>
  <c r="M46" i="14" s="1"/>
  <c r="M75" i="14" s="1"/>
  <c r="M45" i="14"/>
  <c r="O45" i="14"/>
  <c r="P45" i="14"/>
  <c r="P74" i="14" s="1"/>
  <c r="R45" i="14"/>
  <c r="R74" i="14" s="1"/>
  <c r="A48" i="14"/>
  <c r="B47" i="14"/>
  <c r="C47" i="14" s="1"/>
  <c r="E47" i="14" s="1"/>
  <c r="J45" i="14"/>
  <c r="I45" i="14"/>
  <c r="I74" i="14" s="1"/>
  <c r="S45" i="14"/>
  <c r="P11" i="14"/>
  <c r="R9" i="13"/>
  <c r="T9" i="13" s="1"/>
  <c r="K10" i="13"/>
  <c r="G10" i="13"/>
  <c r="J10" i="13"/>
  <c r="D10" i="13"/>
  <c r="I10" i="13"/>
  <c r="C10" i="13"/>
  <c r="L10" i="13"/>
  <c r="H10" i="13"/>
  <c r="J46" i="14" l="1"/>
  <c r="J75" i="14" s="1"/>
  <c r="L46" i="14"/>
  <c r="L75" i="14" s="1"/>
  <c r="N46" i="14"/>
  <c r="N75" i="14" s="1"/>
  <c r="S46" i="14"/>
  <c r="S75" i="14" s="1"/>
  <c r="O13" i="14"/>
  <c r="Q13" i="14" s="1"/>
  <c r="I13" i="14"/>
  <c r="C13" i="14"/>
  <c r="L13" i="14"/>
  <c r="H13" i="14"/>
  <c r="J13" i="14"/>
  <c r="G13" i="14"/>
  <c r="D13" i="14"/>
  <c r="K13" i="14"/>
  <c r="A49" i="14"/>
  <c r="B48" i="14"/>
  <c r="C48" i="14" s="1"/>
  <c r="E48" i="14" s="1"/>
  <c r="O46" i="14"/>
  <c r="O75" i="14" s="1"/>
  <c r="Q46" i="14"/>
  <c r="J74" i="14"/>
  <c r="O74" i="14"/>
  <c r="P46" i="14"/>
  <c r="R46" i="14"/>
  <c r="R75" i="14" s="1"/>
  <c r="I46" i="14"/>
  <c r="I75" i="14" s="1"/>
  <c r="N74" i="14"/>
  <c r="S74" i="14"/>
  <c r="F47" i="14"/>
  <c r="T47" i="14" s="1"/>
  <c r="T76" i="14" s="1"/>
  <c r="M74" i="14"/>
  <c r="T46" i="14"/>
  <c r="K46" i="14"/>
  <c r="K75" i="14" s="1"/>
  <c r="P12" i="14"/>
  <c r="L74" i="14"/>
  <c r="R10" i="13"/>
  <c r="T10" i="13" s="1"/>
  <c r="T1" i="13" s="1"/>
  <c r="K47" i="14" l="1"/>
  <c r="K76" i="14" s="1"/>
  <c r="Q47" i="14"/>
  <c r="Q76" i="14" s="1"/>
  <c r="S47" i="14"/>
  <c r="J47" i="14"/>
  <c r="L47" i="14"/>
  <c r="F48" i="14"/>
  <c r="O48" i="14" s="1"/>
  <c r="O77" i="14" s="1"/>
  <c r="I47" i="14"/>
  <c r="I76" i="14" s="1"/>
  <c r="N47" i="14"/>
  <c r="P47" i="14"/>
  <c r="P76" i="14" s="1"/>
  <c r="P75" i="14"/>
  <c r="A50" i="14"/>
  <c r="B49" i="14"/>
  <c r="C49" i="14" s="1"/>
  <c r="E49" i="14" s="1"/>
  <c r="T75" i="14"/>
  <c r="O47" i="14"/>
  <c r="O76" i="14" s="1"/>
  <c r="M47" i="14"/>
  <c r="R47" i="14"/>
  <c r="Q75" i="14"/>
  <c r="P13" i="14"/>
  <c r="N48" i="14" l="1"/>
  <c r="N77" i="14" s="1"/>
  <c r="S48" i="14"/>
  <c r="S77" i="14" s="1"/>
  <c r="P48" i="14"/>
  <c r="P77" i="14" s="1"/>
  <c r="Q48" i="14"/>
  <c r="Q77" i="14" s="1"/>
  <c r="R48" i="14"/>
  <c r="R77" i="14" s="1"/>
  <c r="T48" i="14"/>
  <c r="T77" i="14" s="1"/>
  <c r="J48" i="14"/>
  <c r="J77" i="14" s="1"/>
  <c r="L48" i="14"/>
  <c r="L77" i="14" s="1"/>
  <c r="K48" i="14"/>
  <c r="K77" i="14" s="1"/>
  <c r="M48" i="14"/>
  <c r="M77" i="14" s="1"/>
  <c r="M76" i="14"/>
  <c r="L76" i="14"/>
  <c r="F49" i="14"/>
  <c r="J49" i="14" s="1"/>
  <c r="J78" i="14" s="1"/>
  <c r="A51" i="14"/>
  <c r="B50" i="14"/>
  <c r="C50" i="14" s="1"/>
  <c r="E50" i="14" s="1"/>
  <c r="N76" i="14"/>
  <c r="I48" i="14"/>
  <c r="I77" i="14" s="1"/>
  <c r="J76" i="14"/>
  <c r="R76" i="14"/>
  <c r="S76" i="14"/>
  <c r="I49" i="14" l="1"/>
  <c r="I78" i="14" s="1"/>
  <c r="L49" i="14"/>
  <c r="L78" i="14" s="1"/>
  <c r="Q49" i="14"/>
  <c r="Q78" i="14" s="1"/>
  <c r="P49" i="14"/>
  <c r="P78" i="14" s="1"/>
  <c r="K49" i="14"/>
  <c r="K78" i="14" s="1"/>
  <c r="O49" i="14"/>
  <c r="O78" i="14" s="1"/>
  <c r="N49" i="14"/>
  <c r="N78" i="14" s="1"/>
  <c r="R49" i="14"/>
  <c r="R78" i="14" s="1"/>
  <c r="F50" i="14"/>
  <c r="M50" i="14" s="1"/>
  <c r="M79" i="14" s="1"/>
  <c r="M49" i="14"/>
  <c r="S49" i="14"/>
  <c r="T49" i="14"/>
  <c r="T78" i="14" s="1"/>
  <c r="A52" i="14"/>
  <c r="B51" i="14"/>
  <c r="C51" i="14" s="1"/>
  <c r="E51" i="14" s="1"/>
  <c r="J50" i="14" l="1"/>
  <c r="J79" i="14" s="1"/>
  <c r="O50" i="14"/>
  <c r="O79" i="14" s="1"/>
  <c r="T50" i="14"/>
  <c r="T79" i="14" s="1"/>
  <c r="Q50" i="14"/>
  <c r="Q79" i="14" s="1"/>
  <c r="P50" i="14"/>
  <c r="P79" i="14" s="1"/>
  <c r="L50" i="14"/>
  <c r="L79" i="14" s="1"/>
  <c r="N50" i="14"/>
  <c r="N79" i="14" s="1"/>
  <c r="S50" i="14"/>
  <c r="S79" i="14" s="1"/>
  <c r="F51" i="14"/>
  <c r="Q51" i="14" s="1"/>
  <c r="Q80" i="14" s="1"/>
  <c r="S78" i="14"/>
  <c r="R50" i="14"/>
  <c r="R79" i="14" s="1"/>
  <c r="I50" i="14"/>
  <c r="I79" i="14" s="1"/>
  <c r="A53" i="14"/>
  <c r="B52" i="14"/>
  <c r="C52" i="14" s="1"/>
  <c r="E52" i="14" s="1"/>
  <c r="M78" i="14"/>
  <c r="K50" i="14"/>
  <c r="K79" i="14" s="1"/>
  <c r="K51" i="14" l="1"/>
  <c r="K80" i="14" s="1"/>
  <c r="R51" i="14"/>
  <c r="R80" i="14" s="1"/>
  <c r="J51" i="14"/>
  <c r="J80" i="14" s="1"/>
  <c r="L51" i="14"/>
  <c r="L80" i="14" s="1"/>
  <c r="O51" i="14"/>
  <c r="O80" i="14" s="1"/>
  <c r="I51" i="14"/>
  <c r="I80" i="14" s="1"/>
  <c r="N51" i="14"/>
  <c r="N80" i="14" s="1"/>
  <c r="P51" i="14"/>
  <c r="P80" i="14" s="1"/>
  <c r="T51" i="14"/>
  <c r="T80" i="14" s="1"/>
  <c r="M51" i="14"/>
  <c r="M80" i="14" s="1"/>
  <c r="S51" i="14"/>
  <c r="S80" i="14" s="1"/>
  <c r="F52" i="14"/>
  <c r="T52" i="14" s="1"/>
  <c r="T81" i="14" s="1"/>
  <c r="A54" i="14"/>
  <c r="B53" i="14"/>
  <c r="C53" i="14" s="1"/>
  <c r="E53" i="14" s="1"/>
  <c r="N52" i="14" l="1"/>
  <c r="N81" i="14" s="1"/>
  <c r="M52" i="14"/>
  <c r="M81" i="14" s="1"/>
  <c r="S52" i="14"/>
  <c r="S81" i="14" s="1"/>
  <c r="R52" i="14"/>
  <c r="R81" i="14" s="1"/>
  <c r="L52" i="14"/>
  <c r="L81" i="14" s="1"/>
  <c r="F53" i="14"/>
  <c r="O53" i="14" s="1"/>
  <c r="O82" i="14" s="1"/>
  <c r="A55" i="14"/>
  <c r="B54" i="14"/>
  <c r="C54" i="14" s="1"/>
  <c r="E54" i="14" s="1"/>
  <c r="K52" i="14"/>
  <c r="K81" i="14" s="1"/>
  <c r="J52" i="14"/>
  <c r="J81" i="14" s="1"/>
  <c r="P52" i="14"/>
  <c r="P81" i="14" s="1"/>
  <c r="I52" i="14"/>
  <c r="I81" i="14" s="1"/>
  <c r="Q52" i="14"/>
  <c r="Q81" i="14" s="1"/>
  <c r="O52" i="14"/>
  <c r="O81" i="14" s="1"/>
  <c r="R53" i="14" l="1"/>
  <c r="R82" i="14" s="1"/>
  <c r="L53" i="14"/>
  <c r="L82" i="14" s="1"/>
  <c r="T53" i="14"/>
  <c r="T82" i="14" s="1"/>
  <c r="N53" i="14"/>
  <c r="N82" i="14" s="1"/>
  <c r="F54" i="14"/>
  <c r="R54" i="14" s="1"/>
  <c r="R83" i="14" s="1"/>
  <c r="M53" i="14"/>
  <c r="M82" i="14" s="1"/>
  <c r="Q53" i="14"/>
  <c r="Q82" i="14" s="1"/>
  <c r="K53" i="14"/>
  <c r="K82" i="14" s="1"/>
  <c r="P53" i="14"/>
  <c r="P82" i="14" s="1"/>
  <c r="S53" i="14"/>
  <c r="S82" i="14" s="1"/>
  <c r="A56" i="14"/>
  <c r="B55" i="14"/>
  <c r="C55" i="14" s="1"/>
  <c r="E55" i="14" s="1"/>
  <c r="J53" i="14"/>
  <c r="J82" i="14" s="1"/>
  <c r="I53" i="14"/>
  <c r="I82" i="14" s="1"/>
  <c r="T54" i="14" l="1"/>
  <c r="T83" i="14" s="1"/>
  <c r="L54" i="14"/>
  <c r="L83" i="14" s="1"/>
  <c r="O54" i="14"/>
  <c r="O83" i="14" s="1"/>
  <c r="S54" i="14"/>
  <c r="S83" i="14" s="1"/>
  <c r="I54" i="14"/>
  <c r="I83" i="14" s="1"/>
  <c r="P54" i="14"/>
  <c r="P83" i="14" s="1"/>
  <c r="Q54" i="14"/>
  <c r="Q83" i="14" s="1"/>
  <c r="K54" i="14"/>
  <c r="K83" i="14" s="1"/>
  <c r="J54" i="14"/>
  <c r="J83" i="14" s="1"/>
  <c r="B56" i="14"/>
  <c r="C56" i="14" s="1"/>
  <c r="E56" i="14" s="1"/>
  <c r="A57" i="14"/>
  <c r="F55" i="14"/>
  <c r="I55" i="14" s="1"/>
  <c r="I84" i="14" s="1"/>
  <c r="N54" i="14"/>
  <c r="N83" i="14" s="1"/>
  <c r="M54" i="14"/>
  <c r="M83" i="14" s="1"/>
  <c r="N55" i="14" l="1"/>
  <c r="N84" i="14" s="1"/>
  <c r="M55" i="14"/>
  <c r="M84" i="14" s="1"/>
  <c r="P55" i="14"/>
  <c r="P84" i="14" s="1"/>
  <c r="S55" i="14"/>
  <c r="S84" i="14" s="1"/>
  <c r="K55" i="14"/>
  <c r="K84" i="14" s="1"/>
  <c r="T55" i="14"/>
  <c r="T84" i="14" s="1"/>
  <c r="L55" i="14"/>
  <c r="L84" i="14" s="1"/>
  <c r="Q55" i="14"/>
  <c r="Q84" i="14" s="1"/>
  <c r="J55" i="14"/>
  <c r="J84" i="14" s="1"/>
  <c r="R55" i="14"/>
  <c r="R84" i="14" s="1"/>
  <c r="A58" i="14"/>
  <c r="B57" i="14"/>
  <c r="C57" i="14" s="1"/>
  <c r="E57" i="14" s="1"/>
  <c r="O55" i="14"/>
  <c r="O84" i="14" s="1"/>
  <c r="F56" i="14"/>
  <c r="P56" i="14" s="1"/>
  <c r="P85" i="14" s="1"/>
  <c r="N56" i="14" l="1"/>
  <c r="N85" i="14" s="1"/>
  <c r="O56" i="14"/>
  <c r="O85" i="14" s="1"/>
  <c r="T56" i="14"/>
  <c r="T85" i="14" s="1"/>
  <c r="R56" i="14"/>
  <c r="R85" i="14" s="1"/>
  <c r="K56" i="14"/>
  <c r="K85" i="14" s="1"/>
  <c r="J56" i="14"/>
  <c r="J85" i="14" s="1"/>
  <c r="I56" i="14"/>
  <c r="I85" i="14" s="1"/>
  <c r="Q56" i="14"/>
  <c r="Q85" i="14" s="1"/>
  <c r="M56" i="14"/>
  <c r="M85" i="14" s="1"/>
  <c r="S56" i="14"/>
  <c r="S85" i="14" s="1"/>
  <c r="L56" i="14"/>
  <c r="L85" i="14" s="1"/>
  <c r="A59" i="14"/>
  <c r="B58" i="14"/>
  <c r="C58" i="14" s="1"/>
  <c r="E58" i="14" s="1"/>
  <c r="F57" i="14"/>
  <c r="S57" i="14" s="1"/>
  <c r="S86" i="14" s="1"/>
  <c r="S69" i="14" s="1"/>
  <c r="Q57" i="14" l="1"/>
  <c r="Q86" i="14" s="1"/>
  <c r="Q69" i="14" s="1"/>
  <c r="N57" i="14"/>
  <c r="N86" i="14" s="1"/>
  <c r="N69" i="14" s="1"/>
  <c r="K57" i="14"/>
  <c r="K86" i="14" s="1"/>
  <c r="K69" i="14" s="1"/>
  <c r="T57" i="14"/>
  <c r="T86" i="14" s="1"/>
  <c r="T69" i="14" s="1"/>
  <c r="P57" i="14"/>
  <c r="P86" i="14" s="1"/>
  <c r="P69" i="14" s="1"/>
  <c r="R57" i="14"/>
  <c r="R86" i="14" s="1"/>
  <c r="R69" i="14" s="1"/>
  <c r="J57" i="14"/>
  <c r="J86" i="14" s="1"/>
  <c r="J69" i="14" s="1"/>
  <c r="O57" i="14"/>
  <c r="O86" i="14" s="1"/>
  <c r="O69" i="14" s="1"/>
  <c r="F58" i="14"/>
  <c r="O58" i="14" s="1"/>
  <c r="O87" i="14" s="1"/>
  <c r="I57" i="14"/>
  <c r="I86" i="14" s="1"/>
  <c r="I69" i="14" s="1"/>
  <c r="L57" i="14"/>
  <c r="L86" i="14" s="1"/>
  <c r="L69" i="14" s="1"/>
  <c r="M57" i="14"/>
  <c r="M86" i="14" s="1"/>
  <c r="M69" i="14" s="1"/>
  <c r="A60" i="14"/>
  <c r="B59" i="14"/>
  <c r="C59" i="14" s="1"/>
  <c r="E59" i="14" s="1"/>
  <c r="I58" i="14" l="1"/>
  <c r="I87" i="14" s="1"/>
  <c r="P58" i="14"/>
  <c r="P87" i="14" s="1"/>
  <c r="R58" i="14"/>
  <c r="R87" i="14" s="1"/>
  <c r="M58" i="14"/>
  <c r="M87" i="14" s="1"/>
  <c r="T58" i="14"/>
  <c r="T87" i="14" s="1"/>
  <c r="Q58" i="14"/>
  <c r="Q87" i="14" s="1"/>
  <c r="L58" i="14"/>
  <c r="L87" i="14" s="1"/>
  <c r="S58" i="14"/>
  <c r="S87" i="14" s="1"/>
  <c r="N58" i="14"/>
  <c r="N87" i="14" s="1"/>
  <c r="K58" i="14"/>
  <c r="K87" i="14" s="1"/>
  <c r="F59" i="14"/>
  <c r="Q59" i="14" s="1"/>
  <c r="Q88" i="14" s="1"/>
  <c r="J58" i="14"/>
  <c r="J87" i="14" s="1"/>
  <c r="A61" i="14"/>
  <c r="B60" i="14"/>
  <c r="C60" i="14" s="1"/>
  <c r="E60" i="14" s="1"/>
  <c r="L59" i="14" l="1"/>
  <c r="L88" i="14" s="1"/>
  <c r="S59" i="14"/>
  <c r="S88" i="14" s="1"/>
  <c r="J59" i="14"/>
  <c r="J88" i="14" s="1"/>
  <c r="T59" i="14"/>
  <c r="T88" i="14" s="1"/>
  <c r="I59" i="14"/>
  <c r="I88" i="14" s="1"/>
  <c r="N59" i="14"/>
  <c r="N88" i="14" s="1"/>
  <c r="A62" i="14"/>
  <c r="B61" i="14"/>
  <c r="C61" i="14" s="1"/>
  <c r="E61" i="14" s="1"/>
  <c r="P59" i="14"/>
  <c r="P88" i="14" s="1"/>
  <c r="K59" i="14"/>
  <c r="K88" i="14" s="1"/>
  <c r="M59" i="14"/>
  <c r="M88" i="14" s="1"/>
  <c r="R59" i="14"/>
  <c r="R88" i="14" s="1"/>
  <c r="F60" i="14"/>
  <c r="T60" i="14" s="1"/>
  <c r="T89" i="14" s="1"/>
  <c r="O59" i="14"/>
  <c r="O88" i="14" s="1"/>
  <c r="S60" i="14" l="1"/>
  <c r="S89" i="14" s="1"/>
  <c r="I60" i="14"/>
  <c r="I89" i="14" s="1"/>
  <c r="J60" i="14"/>
  <c r="J89" i="14" s="1"/>
  <c r="L60" i="14"/>
  <c r="L89" i="14" s="1"/>
  <c r="M60" i="14"/>
  <c r="M89" i="14" s="1"/>
  <c r="O60" i="14"/>
  <c r="O89" i="14" s="1"/>
  <c r="N60" i="14"/>
  <c r="N89" i="14" s="1"/>
  <c r="P60" i="14"/>
  <c r="P89" i="14" s="1"/>
  <c r="Q60" i="14"/>
  <c r="Q89" i="14" s="1"/>
  <c r="A63" i="14"/>
  <c r="B62" i="14"/>
  <c r="C62" i="14" s="1"/>
  <c r="E62" i="14" s="1"/>
  <c r="K60" i="14"/>
  <c r="K89" i="14" s="1"/>
  <c r="R60" i="14"/>
  <c r="R89" i="14" s="1"/>
  <c r="F61" i="14"/>
  <c r="L61" i="14" s="1"/>
  <c r="L90" i="14" s="1"/>
  <c r="M61" i="14" l="1"/>
  <c r="M90" i="14" s="1"/>
  <c r="I61" i="14"/>
  <c r="I90" i="14" s="1"/>
  <c r="S61" i="14"/>
  <c r="S90" i="14" s="1"/>
  <c r="Q61" i="14"/>
  <c r="Q90" i="14" s="1"/>
  <c r="T61" i="14"/>
  <c r="T90" i="14" s="1"/>
  <c r="N61" i="14"/>
  <c r="N90" i="14" s="1"/>
  <c r="J61" i="14"/>
  <c r="J90" i="14" s="1"/>
  <c r="O61" i="14"/>
  <c r="O90" i="14" s="1"/>
  <c r="R61" i="14"/>
  <c r="R90" i="14" s="1"/>
  <c r="K61" i="14"/>
  <c r="K90" i="14" s="1"/>
  <c r="P61" i="14"/>
  <c r="P90" i="14" s="1"/>
  <c r="A64" i="14"/>
  <c r="B63" i="14"/>
  <c r="C63" i="14" s="1"/>
  <c r="E63" i="14" s="1"/>
  <c r="F62" i="14"/>
  <c r="K62" i="14" s="1"/>
  <c r="K91" i="14" s="1"/>
  <c r="J62" i="14" l="1"/>
  <c r="J91" i="14" s="1"/>
  <c r="O62" i="14"/>
  <c r="O91" i="14" s="1"/>
  <c r="L62" i="14"/>
  <c r="L91" i="14" s="1"/>
  <c r="N62" i="14"/>
  <c r="N91" i="14" s="1"/>
  <c r="S62" i="14"/>
  <c r="S91" i="14" s="1"/>
  <c r="M62" i="14"/>
  <c r="M91" i="14" s="1"/>
  <c r="P62" i="14"/>
  <c r="P91" i="14" s="1"/>
  <c r="R62" i="14"/>
  <c r="R91" i="14" s="1"/>
  <c r="F63" i="14"/>
  <c r="N63" i="14" s="1"/>
  <c r="N92" i="14" s="1"/>
  <c r="I62" i="14"/>
  <c r="I91" i="14" s="1"/>
  <c r="Q62" i="14"/>
  <c r="Q91" i="14" s="1"/>
  <c r="T62" i="14"/>
  <c r="T91" i="14" s="1"/>
  <c r="A65" i="14"/>
  <c r="B64" i="14"/>
  <c r="C64" i="14" s="1"/>
  <c r="E64" i="14" s="1"/>
  <c r="K63" i="14" l="1"/>
  <c r="K92" i="14" s="1"/>
  <c r="M63" i="14"/>
  <c r="M92" i="14" s="1"/>
  <c r="L63" i="14"/>
  <c r="L92" i="14" s="1"/>
  <c r="R63" i="14"/>
  <c r="R92" i="14" s="1"/>
  <c r="T63" i="14"/>
  <c r="T92" i="14" s="1"/>
  <c r="O63" i="14"/>
  <c r="O92" i="14" s="1"/>
  <c r="Q63" i="14"/>
  <c r="Q92" i="14" s="1"/>
  <c r="S63" i="14"/>
  <c r="S92" i="14" s="1"/>
  <c r="J63" i="14"/>
  <c r="J92" i="14" s="1"/>
  <c r="A66" i="14"/>
  <c r="B66" i="14" s="1"/>
  <c r="C66" i="14" s="1"/>
  <c r="E66" i="14" s="1"/>
  <c r="B65" i="14"/>
  <c r="C65" i="14" s="1"/>
  <c r="E65" i="14" s="1"/>
  <c r="F64" i="14"/>
  <c r="I64" i="14" s="1"/>
  <c r="I93" i="14" s="1"/>
  <c r="P63" i="14"/>
  <c r="P92" i="14" s="1"/>
  <c r="I63" i="14"/>
  <c r="I92" i="14" s="1"/>
  <c r="L64" i="14" l="1"/>
  <c r="L93" i="14" s="1"/>
  <c r="O64" i="14"/>
  <c r="O93" i="14" s="1"/>
  <c r="S64" i="14"/>
  <c r="S93" i="14" s="1"/>
  <c r="J64" i="14"/>
  <c r="J93" i="14" s="1"/>
  <c r="P64" i="14"/>
  <c r="P93" i="14" s="1"/>
  <c r="K64" i="14"/>
  <c r="K93" i="14" s="1"/>
  <c r="N64" i="14"/>
  <c r="N93" i="14" s="1"/>
  <c r="M64" i="14"/>
  <c r="M93" i="14" s="1"/>
  <c r="Q64" i="14"/>
  <c r="Q93" i="14" s="1"/>
  <c r="R64" i="14"/>
  <c r="R93" i="14" s="1"/>
  <c r="T64" i="14"/>
  <c r="T93" i="14" s="1"/>
  <c r="F65" i="14"/>
  <c r="T65" i="14" s="1"/>
  <c r="T94" i="14" s="1"/>
  <c r="F66" i="14"/>
  <c r="N66" i="14" s="1"/>
  <c r="N65" i="14" l="1"/>
  <c r="N94" i="14" s="1"/>
  <c r="I65" i="14"/>
  <c r="I94" i="14" s="1"/>
  <c r="L65" i="14"/>
  <c r="L94" i="14" s="1"/>
  <c r="Q65" i="14"/>
  <c r="Q94" i="14" s="1"/>
  <c r="O65" i="14"/>
  <c r="O94" i="14" s="1"/>
  <c r="R65" i="14"/>
  <c r="R94" i="14" s="1"/>
  <c r="K65" i="14"/>
  <c r="K94" i="14" s="1"/>
  <c r="P65" i="14"/>
  <c r="P94" i="14" s="1"/>
  <c r="I66" i="14"/>
  <c r="I95" i="14" s="1"/>
  <c r="N95" i="14"/>
  <c r="M66" i="14"/>
  <c r="R66" i="14"/>
  <c r="T66" i="14"/>
  <c r="S66" i="14"/>
  <c r="Q66" i="14"/>
  <c r="J65" i="14"/>
  <c r="J94" i="14" s="1"/>
  <c r="M65" i="14"/>
  <c r="M94" i="14" s="1"/>
  <c r="S65" i="14"/>
  <c r="S94" i="14" s="1"/>
  <c r="L66" i="14"/>
  <c r="O66" i="14"/>
  <c r="K66" i="14"/>
  <c r="J66" i="14"/>
  <c r="P66" i="14"/>
  <c r="N68" i="14" l="1"/>
  <c r="N70" i="14" s="1"/>
  <c r="I68" i="14"/>
  <c r="I70" i="14" s="1"/>
  <c r="R95" i="14"/>
  <c r="R68" i="14"/>
  <c r="R70" i="14" s="1"/>
  <c r="K95" i="14"/>
  <c r="K68" i="14"/>
  <c r="K70" i="14" s="1"/>
  <c r="Q95" i="14"/>
  <c r="Q68" i="14"/>
  <c r="Q70" i="14" s="1"/>
  <c r="M95" i="14"/>
  <c r="M68" i="14"/>
  <c r="M70" i="14" s="1"/>
  <c r="J95" i="14"/>
  <c r="J68" i="14"/>
  <c r="J70" i="14" s="1"/>
  <c r="S95" i="14"/>
  <c r="S68" i="14"/>
  <c r="S70" i="14" s="1"/>
  <c r="O95" i="14"/>
  <c r="O68" i="14"/>
  <c r="O70" i="14" s="1"/>
  <c r="P95" i="14"/>
  <c r="P68" i="14"/>
  <c r="P70" i="14" s="1"/>
  <c r="L95" i="14"/>
  <c r="L68" i="14"/>
  <c r="L70" i="14" s="1"/>
  <c r="T95" i="14"/>
  <c r="T68" i="14"/>
  <c r="T70" i="14" s="1"/>
  <c r="F34" i="3" l="1"/>
  <c r="D34" i="3" s="1"/>
  <c r="I33" i="3"/>
  <c r="H33" i="3"/>
  <c r="O33" i="3"/>
  <c r="G33" i="3"/>
  <c r="F33" i="3" l="1"/>
  <c r="D33" i="3" s="1"/>
  <c r="H32" i="3"/>
  <c r="G32" i="3" l="1"/>
  <c r="O32" i="3" l="1"/>
  <c r="O30" i="3"/>
  <c r="F32" i="3" l="1"/>
  <c r="D32" i="3" s="1"/>
  <c r="H31" i="3" l="1"/>
  <c r="G31" i="3"/>
  <c r="O31" i="3" l="1"/>
  <c r="F31" i="3" l="1"/>
  <c r="D31" i="3" s="1"/>
  <c r="H30" i="3" l="1"/>
  <c r="G30" i="3"/>
  <c r="O28" i="3" l="1"/>
  <c r="I28" i="3" l="1"/>
  <c r="F30" i="3" l="1"/>
  <c r="D30" i="3" s="1"/>
  <c r="H29" i="3" l="1"/>
  <c r="G29" i="3"/>
  <c r="I29" i="3" l="1"/>
  <c r="F29" i="3" l="1"/>
  <c r="Q33" i="3"/>
  <c r="Q32" i="3"/>
  <c r="Q31" i="3"/>
  <c r="Q30" i="3"/>
  <c r="G28" i="3"/>
  <c r="D29" i="3" l="1"/>
  <c r="K28" i="3"/>
  <c r="H28" i="3"/>
  <c r="E17" i="4" l="1"/>
  <c r="I8" i="11" l="1"/>
  <c r="F28" i="3" l="1"/>
  <c r="D28" i="3" s="1"/>
  <c r="O44" i="11"/>
  <c r="M44" i="11"/>
  <c r="L44" i="11"/>
  <c r="J44" i="11"/>
  <c r="O43" i="11"/>
  <c r="M43" i="11"/>
  <c r="L43" i="11"/>
  <c r="J43" i="11"/>
  <c r="I43" i="11"/>
  <c r="I44" i="11" s="1"/>
  <c r="O38" i="11"/>
  <c r="N38" i="11"/>
  <c r="M38" i="11"/>
  <c r="L38" i="11"/>
  <c r="K38" i="11"/>
  <c r="J38" i="11"/>
  <c r="I38" i="11"/>
  <c r="O37" i="11"/>
  <c r="O41" i="11" s="1"/>
  <c r="N37" i="11"/>
  <c r="N41" i="11" s="1"/>
  <c r="M37" i="11"/>
  <c r="M41" i="11" s="1"/>
  <c r="L37" i="11"/>
  <c r="L41" i="11" s="1"/>
  <c r="K37" i="11"/>
  <c r="K41" i="11" s="1"/>
  <c r="J37" i="11"/>
  <c r="J41" i="11" s="1"/>
  <c r="I37" i="11"/>
  <c r="I41" i="11" s="1"/>
  <c r="H19" i="11"/>
  <c r="H18" i="11"/>
  <c r="H20" i="11" s="1"/>
  <c r="G27" i="3"/>
  <c r="K27" i="3"/>
  <c r="U35" i="4"/>
  <c r="U37" i="4" s="1"/>
  <c r="U36" i="4"/>
  <c r="K43" i="11" l="1"/>
  <c r="K44" i="11" s="1"/>
  <c r="N43" i="11"/>
  <c r="N44" i="11" s="1"/>
  <c r="U39" i="4"/>
  <c r="U41" i="4"/>
  <c r="H24" i="11"/>
  <c r="H21" i="11"/>
  <c r="I39" i="11"/>
  <c r="I40" i="11" s="1"/>
  <c r="M39" i="11"/>
  <c r="M40" i="11" s="1"/>
  <c r="H22" i="11"/>
  <c r="J39" i="11"/>
  <c r="J40" i="11" s="1"/>
  <c r="N39" i="11"/>
  <c r="N40" i="11" s="1"/>
  <c r="K39" i="11"/>
  <c r="K40" i="11" s="1"/>
  <c r="O39" i="11"/>
  <c r="O40" i="11" s="1"/>
  <c r="L39" i="11"/>
  <c r="L40" i="11" s="1"/>
  <c r="U38" i="4"/>
  <c r="K47" i="11" l="1"/>
  <c r="J47" i="11"/>
  <c r="O47" i="11"/>
  <c r="I47" i="11"/>
  <c r="M47" i="11"/>
  <c r="N47" i="11"/>
  <c r="L47" i="11"/>
  <c r="U40" i="4"/>
  <c r="H23" i="11"/>
  <c r="H25" i="11" s="1"/>
  <c r="K45" i="11"/>
  <c r="K46" i="11" s="1"/>
  <c r="K42" i="11"/>
  <c r="N45" i="11"/>
  <c r="N46" i="11" s="1"/>
  <c r="N42" i="11"/>
  <c r="M45" i="11"/>
  <c r="M46" i="11" s="1"/>
  <c r="M42" i="11"/>
  <c r="L45" i="11"/>
  <c r="L46" i="11" s="1"/>
  <c r="L42" i="11"/>
  <c r="J45" i="11"/>
  <c r="J46" i="11" s="1"/>
  <c r="J42" i="11"/>
  <c r="I45" i="11"/>
  <c r="I46" i="11" s="1"/>
  <c r="H48" i="11" s="1"/>
  <c r="I42" i="11"/>
  <c r="O45" i="11"/>
  <c r="O46" i="11" s="1"/>
  <c r="O42" i="11"/>
  <c r="H27" i="3"/>
  <c r="F27" i="3" s="1"/>
  <c r="D27" i="3" s="1"/>
  <c r="T35" i="4"/>
  <c r="T37" i="4" s="1"/>
  <c r="T36" i="4"/>
  <c r="T41" i="4" l="1"/>
  <c r="T38" i="4"/>
  <c r="T39" i="4"/>
  <c r="T40" i="4" l="1"/>
  <c r="G26" i="3" l="1"/>
  <c r="F26" i="3" l="1"/>
  <c r="D26" i="3" s="1"/>
  <c r="G10" i="3"/>
  <c r="G5" i="3"/>
  <c r="G3" i="3"/>
  <c r="G2" i="3"/>
  <c r="G4" i="3" l="1"/>
  <c r="G6" i="3" s="1"/>
  <c r="H25" i="3"/>
  <c r="F25" i="3" s="1"/>
  <c r="D25" i="3" l="1"/>
  <c r="G24" i="3"/>
  <c r="D15" i="3" l="1"/>
  <c r="D16" i="3"/>
  <c r="D17" i="3"/>
  <c r="D18" i="3"/>
  <c r="D19" i="3"/>
  <c r="D14" i="3"/>
  <c r="K24" i="3" l="1"/>
  <c r="F24" i="3" l="1"/>
  <c r="D24" i="3" s="1"/>
  <c r="L23" i="3" l="1"/>
  <c r="D23" i="3" l="1"/>
  <c r="F23" i="3"/>
  <c r="L22" i="3" l="1"/>
  <c r="G22" i="3" l="1"/>
  <c r="J22" i="3" l="1"/>
  <c r="D22" i="3" s="1"/>
  <c r="F22" i="3" l="1"/>
  <c r="S35" i="4"/>
  <c r="S37" i="4" s="1"/>
  <c r="S36" i="4"/>
  <c r="S39" i="4" l="1"/>
  <c r="S41" i="4"/>
  <c r="S38" i="4"/>
  <c r="E24" i="8"/>
  <c r="E25" i="8"/>
  <c r="E26" i="8"/>
  <c r="E27" i="8"/>
  <c r="E28" i="8"/>
  <c r="E23" i="8"/>
  <c r="D17" i="8"/>
  <c r="D16" i="8"/>
  <c r="D18" i="8"/>
  <c r="S40" i="4" l="1"/>
  <c r="E8" i="8"/>
  <c r="E9" i="8"/>
  <c r="E10" i="8"/>
  <c r="E11" i="8"/>
  <c r="E12" i="8"/>
  <c r="E13" i="8"/>
  <c r="E7" i="8"/>
  <c r="F14" i="9"/>
  <c r="F13" i="9"/>
  <c r="F12" i="9"/>
  <c r="B14" i="9"/>
  <c r="B13" i="9"/>
  <c r="B35" i="7"/>
  <c r="H35" i="7" s="1"/>
  <c r="B36" i="7"/>
  <c r="H36" i="7" s="1"/>
  <c r="B37" i="7"/>
  <c r="H37" i="7" s="1"/>
  <c r="B38" i="7"/>
  <c r="H38" i="7" s="1"/>
  <c r="B39" i="7"/>
  <c r="H39" i="7" s="1"/>
  <c r="B40" i="7"/>
  <c r="H40" i="7" s="1"/>
  <c r="C41" i="7"/>
  <c r="B41" i="7" s="1"/>
  <c r="H41" i="7" s="1"/>
  <c r="D35" i="7"/>
  <c r="B5" i="7"/>
  <c r="H5" i="7" s="1"/>
  <c r="B6" i="7"/>
  <c r="H6" i="7" s="1"/>
  <c r="B7" i="7"/>
  <c r="H7" i="7" s="1"/>
  <c r="B8" i="7"/>
  <c r="H8" i="7" s="1"/>
  <c r="B4" i="7"/>
  <c r="D5" i="7"/>
  <c r="D6" i="7"/>
  <c r="D7" i="7"/>
  <c r="D8" i="7"/>
  <c r="D4" i="7"/>
  <c r="F4" i="7" s="1"/>
  <c r="C9" i="7"/>
  <c r="B9" i="7" s="1"/>
  <c r="H9" i="7" s="1"/>
  <c r="I6" i="7" l="1"/>
  <c r="F6" i="7"/>
  <c r="I5" i="7"/>
  <c r="F5" i="7"/>
  <c r="I8" i="7"/>
  <c r="F8" i="7"/>
  <c r="I7" i="7"/>
  <c r="F7" i="7"/>
  <c r="I35" i="7"/>
  <c r="F35" i="7"/>
  <c r="C10" i="7"/>
  <c r="C11" i="7" s="1"/>
  <c r="C12" i="7" s="1"/>
  <c r="D9" i="7"/>
  <c r="C42" i="7"/>
  <c r="F11" i="8"/>
  <c r="K11" i="8" s="1"/>
  <c r="F7" i="8"/>
  <c r="K7" i="8" s="1"/>
  <c r="F10" i="8"/>
  <c r="K10" i="8" s="1"/>
  <c r="F9" i="8"/>
  <c r="K9" i="8" s="1"/>
  <c r="F12" i="8"/>
  <c r="G13" i="8" s="1"/>
  <c r="H13" i="8" s="1"/>
  <c r="F8" i="8"/>
  <c r="K8" i="8" s="1"/>
  <c r="R35" i="4"/>
  <c r="R37" i="4" s="1"/>
  <c r="R36" i="4"/>
  <c r="Q35" i="4"/>
  <c r="Q39" i="4" s="1"/>
  <c r="Q36" i="4"/>
  <c r="J21" i="3"/>
  <c r="F21" i="3" s="1"/>
  <c r="D21" i="3" s="1"/>
  <c r="O62" i="4"/>
  <c r="O64" i="4" s="1"/>
  <c r="O63" i="4"/>
  <c r="I9" i="7" l="1"/>
  <c r="F9" i="7"/>
  <c r="R41" i="4"/>
  <c r="R39" i="4"/>
  <c r="G11" i="8"/>
  <c r="H11" i="8" s="1"/>
  <c r="D11" i="7"/>
  <c r="D10" i="7"/>
  <c r="B11" i="7"/>
  <c r="H11" i="7" s="1"/>
  <c r="B10" i="7"/>
  <c r="H10" i="7" s="1"/>
  <c r="B42" i="7"/>
  <c r="H42" i="7" s="1"/>
  <c r="C43" i="7"/>
  <c r="C13" i="7"/>
  <c r="B12" i="7"/>
  <c r="H12" i="7" s="1"/>
  <c r="D12" i="7"/>
  <c r="Q37" i="4"/>
  <c r="Q38" i="4" s="1"/>
  <c r="Q40" i="4" s="1"/>
  <c r="O72" i="4"/>
  <c r="J11" i="8"/>
  <c r="O66" i="4"/>
  <c r="O68" i="4"/>
  <c r="O69" i="4" s="1"/>
  <c r="R38" i="4"/>
  <c r="J12" i="8"/>
  <c r="J9" i="8"/>
  <c r="G9" i="8" s="1"/>
  <c r="H9" i="8" s="1"/>
  <c r="J10" i="8"/>
  <c r="G10" i="8" s="1"/>
  <c r="H10" i="8" s="1"/>
  <c r="J8" i="8"/>
  <c r="G8" i="8" s="1"/>
  <c r="H8" i="8" s="1"/>
  <c r="K12" i="8"/>
  <c r="G12" i="8" s="1"/>
  <c r="H12" i="8" s="1"/>
  <c r="J7" i="8"/>
  <c r="G7" i="8" s="1"/>
  <c r="H7" i="8" s="1"/>
  <c r="L10" i="8"/>
  <c r="L11" i="8"/>
  <c r="L9" i="8"/>
  <c r="L8" i="8"/>
  <c r="L7" i="8"/>
  <c r="D36" i="7"/>
  <c r="O65" i="4"/>
  <c r="J20" i="3"/>
  <c r="F20" i="3" s="1"/>
  <c r="D20" i="3" s="1"/>
  <c r="I10" i="7" l="1"/>
  <c r="F10" i="7"/>
  <c r="I12" i="7"/>
  <c r="F12" i="7"/>
  <c r="I11" i="7"/>
  <c r="F11" i="7"/>
  <c r="I36" i="7"/>
  <c r="F36" i="7"/>
  <c r="R40" i="4"/>
  <c r="C44" i="7"/>
  <c r="B44" i="7" s="1"/>
  <c r="H44" i="7" s="1"/>
  <c r="B43" i="7"/>
  <c r="H43" i="7" s="1"/>
  <c r="C14" i="7"/>
  <c r="B13" i="7"/>
  <c r="H13" i="7" s="1"/>
  <c r="D13" i="7"/>
  <c r="Q41" i="4"/>
  <c r="L13" i="8"/>
  <c r="O70" i="4"/>
  <c r="O71" i="4" s="1"/>
  <c r="O67" i="4"/>
  <c r="L12" i="8"/>
  <c r="H14" i="8"/>
  <c r="G14" i="8"/>
  <c r="D37" i="7"/>
  <c r="I37" i="7" l="1"/>
  <c r="F37" i="7"/>
  <c r="I13" i="7"/>
  <c r="F13" i="7"/>
  <c r="L14" i="8"/>
  <c r="D14" i="8" s="1"/>
  <c r="C15" i="7"/>
  <c r="B14" i="7"/>
  <c r="H14" i="7" s="1"/>
  <c r="D14" i="7"/>
  <c r="I9" i="8"/>
  <c r="I13" i="8"/>
  <c r="I11" i="8"/>
  <c r="I10" i="8"/>
  <c r="I12" i="8"/>
  <c r="I8" i="8"/>
  <c r="I7" i="8"/>
  <c r="I14" i="8"/>
  <c r="D15" i="8" s="1"/>
  <c r="D38" i="7"/>
  <c r="I14" i="7" l="1"/>
  <c r="F14" i="7"/>
  <c r="I38" i="7"/>
  <c r="F38" i="7"/>
  <c r="D21" i="8"/>
  <c r="D20" i="8" s="1"/>
  <c r="E19" i="8"/>
  <c r="B15" i="7"/>
  <c r="H15" i="7" s="1"/>
  <c r="D15" i="7"/>
  <c r="C16" i="7"/>
  <c r="I15" i="8"/>
  <c r="D39" i="7"/>
  <c r="I15" i="7" l="1"/>
  <c r="F15" i="7"/>
  <c r="I39" i="7"/>
  <c r="F39" i="7"/>
  <c r="C17" i="7"/>
  <c r="D16" i="7"/>
  <c r="B16" i="7"/>
  <c r="H16" i="7" s="1"/>
  <c r="D40" i="7"/>
  <c r="I40" i="7" l="1"/>
  <c r="F40" i="7"/>
  <c r="I16" i="7"/>
  <c r="F16" i="7"/>
  <c r="C18" i="7"/>
  <c r="D17" i="7"/>
  <c r="B17" i="7"/>
  <c r="H17" i="7" s="1"/>
  <c r="D41" i="7"/>
  <c r="I41" i="7" l="1"/>
  <c r="F41" i="7"/>
  <c r="I17" i="7"/>
  <c r="F17" i="7"/>
  <c r="C19" i="7"/>
  <c r="D18" i="7"/>
  <c r="B18" i="7"/>
  <c r="H18" i="7" s="1"/>
  <c r="D42" i="7"/>
  <c r="G11" i="6"/>
  <c r="G13" i="6" s="1"/>
  <c r="G10" i="6"/>
  <c r="G12" i="6" s="1"/>
  <c r="I18" i="7" l="1"/>
  <c r="F18" i="7"/>
  <c r="I42" i="7"/>
  <c r="F42" i="7"/>
  <c r="C20" i="7"/>
  <c r="B19" i="7"/>
  <c r="H19" i="7" s="1"/>
  <c r="D19" i="7"/>
  <c r="D43" i="7"/>
  <c r="I43" i="7" l="1"/>
  <c r="F43" i="7"/>
  <c r="I19" i="7"/>
  <c r="F19" i="7"/>
  <c r="C21" i="7"/>
  <c r="B20" i="7"/>
  <c r="H20" i="7" s="1"/>
  <c r="D20" i="7"/>
  <c r="D44" i="7"/>
  <c r="I44" i="7" l="1"/>
  <c r="F44" i="7"/>
  <c r="I20" i="7"/>
  <c r="F20" i="7"/>
  <c r="C22" i="7"/>
  <c r="D21" i="7"/>
  <c r="B21" i="7"/>
  <c r="H21" i="7" s="1"/>
  <c r="I21" i="7" l="1"/>
  <c r="F21" i="7"/>
  <c r="C23" i="7"/>
  <c r="B22" i="7"/>
  <c r="H22" i="7" s="1"/>
  <c r="D22" i="7"/>
  <c r="I22" i="7" l="1"/>
  <c r="F22" i="7"/>
  <c r="C24" i="7"/>
  <c r="B23" i="7"/>
  <c r="H23" i="7" s="1"/>
  <c r="D23" i="7"/>
  <c r="I23" i="7" l="1"/>
  <c r="F23" i="7"/>
  <c r="C25" i="7"/>
  <c r="B24" i="7"/>
  <c r="H24" i="7" s="1"/>
  <c r="D24" i="7"/>
  <c r="N62" i="4"/>
  <c r="N66" i="4" s="1"/>
  <c r="N68" i="4"/>
  <c r="P35" i="4"/>
  <c r="P37" i="4" s="1"/>
  <c r="P36" i="4"/>
  <c r="O35" i="4"/>
  <c r="O37" i="4" s="1"/>
  <c r="O36" i="4"/>
  <c r="I24" i="7" l="1"/>
  <c r="F24" i="7"/>
  <c r="D25" i="7"/>
  <c r="B25" i="7"/>
  <c r="H25" i="7" s="1"/>
  <c r="C26" i="7"/>
  <c r="O41" i="4"/>
  <c r="P41" i="4"/>
  <c r="N64" i="4"/>
  <c r="N72" i="4" s="1"/>
  <c r="O38" i="4"/>
  <c r="P38" i="4"/>
  <c r="N69" i="4"/>
  <c r="P39" i="4"/>
  <c r="O39" i="4"/>
  <c r="I25" i="7" l="1"/>
  <c r="F25" i="7"/>
  <c r="C27" i="7"/>
  <c r="B26" i="7"/>
  <c r="H26" i="7" s="1"/>
  <c r="D26" i="7"/>
  <c r="P40" i="4"/>
  <c r="N65" i="4"/>
  <c r="N67" i="4" s="1"/>
  <c r="O40" i="4"/>
  <c r="I26" i="7" l="1"/>
  <c r="F26" i="7"/>
  <c r="C28" i="7"/>
  <c r="B27" i="7"/>
  <c r="H27" i="7" s="1"/>
  <c r="D27" i="7"/>
  <c r="N70" i="4"/>
  <c r="N71" i="4" s="1"/>
  <c r="I27" i="7" l="1"/>
  <c r="F27" i="7"/>
  <c r="C29" i="7"/>
  <c r="B28" i="7"/>
  <c r="H28" i="7" s="1"/>
  <c r="D28" i="7"/>
  <c r="I28" i="7" l="1"/>
  <c r="F28" i="7"/>
  <c r="C30" i="7"/>
  <c r="D29" i="7"/>
  <c r="B29" i="7"/>
  <c r="H29" i="7" s="1"/>
  <c r="F63" i="4"/>
  <c r="G63" i="4"/>
  <c r="H63" i="4"/>
  <c r="I63" i="4"/>
  <c r="J63" i="4"/>
  <c r="K63" i="4"/>
  <c r="L63" i="4"/>
  <c r="M63" i="4"/>
  <c r="D63" i="4"/>
  <c r="E36" i="4"/>
  <c r="F36" i="4"/>
  <c r="G36" i="4"/>
  <c r="H36" i="4"/>
  <c r="J36" i="4"/>
  <c r="K36" i="4"/>
  <c r="M36" i="4"/>
  <c r="N36" i="4"/>
  <c r="D36" i="4"/>
  <c r="N37" i="4"/>
  <c r="I29" i="7" l="1"/>
  <c r="F29" i="7"/>
  <c r="B30" i="7"/>
  <c r="H30" i="7" s="1"/>
  <c r="D30" i="7"/>
  <c r="C31" i="7"/>
  <c r="N41" i="4"/>
  <c r="N39" i="4"/>
  <c r="N38" i="4"/>
  <c r="I30" i="7" l="1"/>
  <c r="F30" i="7"/>
  <c r="B31" i="7"/>
  <c r="H31" i="7" s="1"/>
  <c r="C32" i="7"/>
  <c r="D31" i="7"/>
  <c r="N40" i="4"/>
  <c r="I31" i="7" l="1"/>
  <c r="F31" i="7"/>
  <c r="C33" i="7"/>
  <c r="B32" i="7"/>
  <c r="H32" i="7" s="1"/>
  <c r="D32" i="7"/>
  <c r="I32" i="7" l="1"/>
  <c r="F32" i="7"/>
  <c r="C34" i="7"/>
  <c r="B33" i="7"/>
  <c r="H33" i="7" s="1"/>
  <c r="D33" i="7"/>
  <c r="M35" i="4"/>
  <c r="M37" i="4" s="1"/>
  <c r="M41" i="4" s="1"/>
  <c r="I33" i="7" l="1"/>
  <c r="F33" i="7"/>
  <c r="D34" i="7"/>
  <c r="B34" i="7"/>
  <c r="H34" i="7" s="1"/>
  <c r="M39" i="4"/>
  <c r="M38" i="4"/>
  <c r="M62" i="4"/>
  <c r="M64" i="4" s="1"/>
  <c r="M72" i="4" s="1"/>
  <c r="M68" i="4"/>
  <c r="K35" i="4"/>
  <c r="K37" i="4" s="1"/>
  <c r="K41" i="4" s="1"/>
  <c r="I34" i="7" l="1"/>
  <c r="F34" i="7"/>
  <c r="M40" i="4"/>
  <c r="M66" i="4"/>
  <c r="M69" i="4" s="1"/>
  <c r="K39" i="4"/>
  <c r="M65" i="4"/>
  <c r="M70" i="4" s="1"/>
  <c r="K38" i="4"/>
  <c r="M71" i="4" l="1"/>
  <c r="K40" i="4"/>
  <c r="M67" i="4"/>
  <c r="L62" i="4"/>
  <c r="L64" i="4" s="1"/>
  <c r="L72" i="4" s="1"/>
  <c r="K62" i="4"/>
  <c r="K64" i="4" s="1"/>
  <c r="K72" i="4" s="1"/>
  <c r="J35" i="4"/>
  <c r="J37" i="4" s="1"/>
  <c r="J41" i="4" s="1"/>
  <c r="L68" i="4" l="1"/>
  <c r="L66" i="4"/>
  <c r="L69" i="4" s="1"/>
  <c r="K66" i="4"/>
  <c r="K68" i="4"/>
  <c r="K69" i="4" s="1"/>
  <c r="K65" i="4"/>
  <c r="J38" i="4"/>
  <c r="L65" i="4"/>
  <c r="J39" i="4"/>
  <c r="H35" i="4"/>
  <c r="H37" i="4" s="1"/>
  <c r="H41" i="4" s="1"/>
  <c r="L67" i="4" l="1"/>
  <c r="K67" i="4"/>
  <c r="L70" i="4"/>
  <c r="L71" i="4" s="1"/>
  <c r="K70" i="4"/>
  <c r="K71" i="4" s="1"/>
  <c r="J40" i="4"/>
  <c r="H38" i="4"/>
  <c r="H39" i="4"/>
  <c r="J62" i="4"/>
  <c r="J64" i="4" s="1"/>
  <c r="J72" i="4" s="1"/>
  <c r="J68" i="4"/>
  <c r="I62" i="4"/>
  <c r="I64" i="4" s="1"/>
  <c r="I72" i="4" s="1"/>
  <c r="H62" i="4"/>
  <c r="H66" i="4" s="1"/>
  <c r="G62" i="4"/>
  <c r="G64" i="4" s="1"/>
  <c r="G72" i="4" s="1"/>
  <c r="G35" i="4"/>
  <c r="G37" i="4" s="1"/>
  <c r="G41" i="4" s="1"/>
  <c r="F62" i="4"/>
  <c r="F64" i="4" s="1"/>
  <c r="F72" i="4" s="1"/>
  <c r="H68" i="4" l="1"/>
  <c r="H69" i="4" s="1"/>
  <c r="F68" i="4"/>
  <c r="G39" i="4"/>
  <c r="H64" i="4"/>
  <c r="G68" i="4"/>
  <c r="F66" i="4"/>
  <c r="G66" i="4"/>
  <c r="H40" i="4"/>
  <c r="J66" i="4"/>
  <c r="J65" i="4"/>
  <c r="J70" i="4" s="1"/>
  <c r="I68" i="4"/>
  <c r="I69" i="4" s="1"/>
  <c r="I65" i="4"/>
  <c r="I66" i="4"/>
  <c r="G65" i="4"/>
  <c r="G38" i="4"/>
  <c r="F65" i="4"/>
  <c r="G34" i="5"/>
  <c r="G23" i="5"/>
  <c r="G8" i="5"/>
  <c r="G39" i="5" s="1"/>
  <c r="G40" i="5" s="1"/>
  <c r="H65" i="4" l="1"/>
  <c r="H67" i="4" s="1"/>
  <c r="H72" i="4"/>
  <c r="G29" i="5"/>
  <c r="G25" i="5"/>
  <c r="G26" i="5"/>
  <c r="K23" i="5"/>
  <c r="G16" i="5"/>
  <c r="G18" i="5" s="1"/>
  <c r="G20" i="5" s="1"/>
  <c r="F67" i="4"/>
  <c r="G40" i="4"/>
  <c r="G69" i="4"/>
  <c r="F69" i="4"/>
  <c r="G67" i="4"/>
  <c r="G70" i="4"/>
  <c r="G71" i="4" s="1"/>
  <c r="J69" i="4"/>
  <c r="J67" i="4"/>
  <c r="J71" i="4"/>
  <c r="I70" i="4"/>
  <c r="I71" i="4" s="1"/>
  <c r="I67" i="4"/>
  <c r="F70" i="4"/>
  <c r="F71" i="4" s="1"/>
  <c r="H70" i="4" l="1"/>
  <c r="H71" i="4" s="1"/>
  <c r="G30" i="5"/>
  <c r="L24" i="5" s="1"/>
  <c r="L25" i="5"/>
  <c r="K25" i="5"/>
  <c r="L26" i="5"/>
  <c r="G17" i="5"/>
  <c r="G28" i="5" s="1"/>
  <c r="G37" i="5" s="1"/>
  <c r="G19" i="5" l="1"/>
  <c r="L22" i="5" s="1"/>
  <c r="G36" i="5" l="1"/>
  <c r="G27" i="5"/>
  <c r="G22" i="5"/>
  <c r="K22" i="5" l="1"/>
  <c r="M24" i="5"/>
  <c r="M26" i="5"/>
  <c r="M25" i="5"/>
  <c r="M22" i="5"/>
  <c r="G33" i="5"/>
  <c r="G35" i="5" s="1"/>
  <c r="G24" i="5"/>
  <c r="K24" i="5" s="1"/>
  <c r="E35" i="4"/>
  <c r="E37" i="4" s="1"/>
  <c r="E41" i="4" s="1"/>
  <c r="F35" i="4"/>
  <c r="F37" i="4" s="1"/>
  <c r="F41" i="4" s="1"/>
  <c r="D35" i="4"/>
  <c r="D37" i="4" s="1"/>
  <c r="D41" i="4" s="1"/>
  <c r="F39" i="4" l="1"/>
  <c r="D39" i="4"/>
  <c r="E39" i="4"/>
  <c r="F38" i="4"/>
  <c r="E38" i="4"/>
  <c r="F40" i="4" l="1"/>
  <c r="E40" i="4"/>
  <c r="D62" i="4" l="1"/>
  <c r="D66" i="4" s="1"/>
  <c r="D68" i="4" l="1"/>
  <c r="D69" i="4" s="1"/>
  <c r="D38" i="4"/>
  <c r="D40" i="4" s="1"/>
  <c r="D43" i="4" s="1"/>
  <c r="D64" i="4"/>
  <c r="D65" i="4" l="1"/>
  <c r="D67" i="4" s="1"/>
  <c r="D72" i="4"/>
  <c r="D70" i="4" l="1"/>
  <c r="D71" i="4" s="1"/>
  <c r="D74"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Christos Neophytou</author>
    <author>cneophytou</author>
  </authors>
  <commentList>
    <comment ref="R5" authorId="0" shapeId="0" xr:uid="{00000000-0006-0000-0100-000001000000}">
      <text>
        <r>
          <rPr>
            <b/>
            <sz val="9"/>
            <color indexed="81"/>
            <rFont val="Tahoma"/>
            <family val="2"/>
          </rPr>
          <t>Christos Neophytou:</t>
        </r>
        <r>
          <rPr>
            <sz val="9"/>
            <color indexed="81"/>
            <rFont val="Tahoma"/>
            <family val="2"/>
          </rPr>
          <t xml:space="preserve">
The loss I had on AAPL for ~50K on 2400 shares.
Sold at 105 and cost for those shares was around 126.75.
To recover this loss with the current 1500 AAPL shares I have I need to sell my 
current shares at price X
        ( X - 110.63 )*1500 = (126.75 - 105)*2400
                     X = 145.43</t>
        </r>
      </text>
    </comment>
    <comment ref="L16" authorId="1" shapeId="0" xr:uid="{00000000-0006-0000-0100-000002000000}">
      <text>
        <r>
          <rPr>
            <b/>
            <sz val="9"/>
            <color indexed="81"/>
            <rFont val="Tahoma"/>
            <family val="2"/>
          </rPr>
          <t>cneophytou:</t>
        </r>
        <r>
          <rPr>
            <sz val="9"/>
            <color indexed="81"/>
            <rFont val="Tahoma"/>
            <family val="2"/>
          </rPr>
          <t xml:space="preserve">
need to estimate cost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Christos Neophytou</author>
  </authors>
  <commentList>
    <comment ref="A111" authorId="0" shapeId="0" xr:uid="{00000000-0006-0000-0E00-000001000000}">
      <text>
        <r>
          <rPr>
            <b/>
            <sz val="9"/>
            <color indexed="81"/>
            <rFont val="Tahoma"/>
            <family val="2"/>
          </rPr>
          <t>Christos Neophytou:</t>
        </r>
        <r>
          <rPr>
            <sz val="9"/>
            <color indexed="81"/>
            <rFont val="Tahoma"/>
            <family val="2"/>
          </rPr>
          <t xml:space="preserve">
Note that sigma*sqrt(t) always appears as one factor in the BS model.
So the TimeValue will be a function of sigma*sqrt(t) and no need to investigate its relationship as a function of sigma and t separately!!!</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cneophytou</author>
  </authors>
  <commentList>
    <comment ref="C6" authorId="0" shapeId="0" xr:uid="{00000000-0006-0000-1100-000001000000}">
      <text>
        <r>
          <rPr>
            <b/>
            <sz val="9"/>
            <color indexed="81"/>
            <rFont val="Tahoma"/>
            <family val="2"/>
          </rPr>
          <t>cneophytou:</t>
        </r>
        <r>
          <rPr>
            <sz val="9"/>
            <color indexed="81"/>
            <rFont val="Tahoma"/>
            <family val="2"/>
          </rPr>
          <t xml:space="preserve">
Total Income = W-2 
                     + Bank Interest 
                     + Net Capital Gains (Total of Short Term + Long Term. Negative if it is a loss up to -$3,000)
                     + IRA Distributions (Money you pull out of IRA)
                     + Social Security (Money you earn from social security)
                     + Unemployment Income
                     + Net Rental Income (from Schedule E. Negative if it is a loss. There are rules to determine Max Loss)
                        (Max Loss from rentals limited to $25K)
AGI (Adjusted Gross Income) = Total Income - (Alimony + Tuition Fees + Student Loan Interest)
Taxable Income = AGI - Itemized Deductions (Schedule A) - Exemptions (Form 1040 Line 42)
Itemized Deductions = Income State Tax (W2 line 17) 
                              + Primary Home Property Tax 
                              + Home Mortgage Interest
                              + Charity Donations
Exemptions (Form 1040 Line 42) ~ $4,000 (for single) or $8,000 (for married filing jointly)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Christos Neophytou</author>
    <author>cneophytou</author>
  </authors>
  <commentList>
    <comment ref="O28" authorId="0" shapeId="0" xr:uid="{00000000-0006-0000-0200-000001000000}">
      <text>
        <r>
          <rPr>
            <b/>
            <sz val="9"/>
            <color indexed="81"/>
            <rFont val="Tahoma"/>
            <family val="2"/>
          </rPr>
          <t>Christos Neophytou:</t>
        </r>
        <r>
          <rPr>
            <sz val="9"/>
            <color indexed="81"/>
            <rFont val="Tahoma"/>
            <family val="2"/>
          </rPr>
          <t xml:space="preserve">
Orders expire Oct 16, Dec 18 (AAPL)</t>
        </r>
      </text>
    </comment>
    <comment ref="M29" authorId="0" shapeId="0" xr:uid="{00000000-0006-0000-0200-000002000000}">
      <text>
        <r>
          <rPr>
            <b/>
            <sz val="9"/>
            <color indexed="81"/>
            <rFont val="Tahoma"/>
            <family val="2"/>
          </rPr>
          <t>Christos Neophytou:</t>
        </r>
        <r>
          <rPr>
            <sz val="9"/>
            <color indexed="81"/>
            <rFont val="Tahoma"/>
            <family val="2"/>
          </rPr>
          <t xml:space="preserve">
1. T 35 CALL Jan 2018 Sell at 1.55 and buy back 1.05
(1.55*500 - 5*1.25) - (1.05*500 +5*1.25)  =$237.50
2. WFM 37 CALL Sell at 3.60 and buy back at 1.55    --&gt; completed
+ (3.6*100 - 1.25) - (1.55*100 +1.25) = $202.50
3. SBUX 65 CALL Sell at 6.05 and buy back at 5.50
+ (6.05*500 -5*1.25) - (5.5*500 +5*1.25) = $262.50
4. S 5 CALL Sell at 1.05 and buy back at 0.45    --&gt; completed
+ (1.05*100 -1.25) - (0.45*100 +1.25) = $57.50</t>
        </r>
      </text>
    </comment>
    <comment ref="K50" authorId="0" shapeId="0" xr:uid="{00000000-0006-0000-0200-000003000000}">
      <text>
        <r>
          <rPr>
            <b/>
            <sz val="9"/>
            <color indexed="81"/>
            <rFont val="Tahoma"/>
            <family val="2"/>
          </rPr>
          <t>Christos Neophytou:</t>
        </r>
        <r>
          <rPr>
            <sz val="9"/>
            <color indexed="81"/>
            <rFont val="Tahoma"/>
            <family val="2"/>
          </rPr>
          <t xml:space="preserve">
bought XIV 245 shares
Sold them after 2 months</t>
        </r>
      </text>
    </comment>
    <comment ref="O70" authorId="0" shapeId="0" xr:uid="{00000000-0006-0000-0200-000004000000}">
      <text>
        <r>
          <rPr>
            <b/>
            <sz val="9"/>
            <color indexed="81"/>
            <rFont val="Tahoma"/>
            <family val="2"/>
          </rPr>
          <t>Christos Neophytou:</t>
        </r>
        <r>
          <rPr>
            <sz val="9"/>
            <color indexed="81"/>
            <rFont val="Tahoma"/>
            <family val="2"/>
          </rPr>
          <t xml:space="preserve">
Week when JPM transferred account to Empower and trading was cancelled for this week.</t>
        </r>
      </text>
    </comment>
    <comment ref="L78" authorId="0" shapeId="0" xr:uid="{00000000-0006-0000-0200-000005000000}">
      <text>
        <r>
          <rPr>
            <b/>
            <sz val="9"/>
            <color indexed="81"/>
            <rFont val="Tahoma"/>
            <family val="2"/>
          </rPr>
          <t>Christos Neophytou:</t>
        </r>
        <r>
          <rPr>
            <sz val="9"/>
            <color indexed="81"/>
            <rFont val="Tahoma"/>
            <family val="2"/>
          </rPr>
          <t xml:space="preserve">
S assignment at $6 cost price was 8.</t>
        </r>
      </text>
    </comment>
    <comment ref="K123" authorId="1" shapeId="0" xr:uid="{00000000-0006-0000-0200-000006000000}">
      <text>
        <r>
          <rPr>
            <b/>
            <sz val="9"/>
            <color indexed="81"/>
            <rFont val="Tahoma"/>
            <family val="2"/>
          </rPr>
          <t>cneophytou:</t>
        </r>
        <r>
          <rPr>
            <sz val="9"/>
            <color indexed="81"/>
            <rFont val="Tahoma"/>
            <family val="2"/>
          </rPr>
          <t xml:space="preserve">
DISH
buy a call and sell a put</t>
        </r>
      </text>
    </comment>
    <comment ref="K124" authorId="1" shapeId="0" xr:uid="{00000000-0006-0000-0200-000007000000}">
      <text>
        <r>
          <rPr>
            <b/>
            <sz val="9"/>
            <color indexed="81"/>
            <rFont val="Tahoma"/>
            <family val="2"/>
          </rPr>
          <t>cneophytou:</t>
        </r>
        <r>
          <rPr>
            <sz val="9"/>
            <color indexed="81"/>
            <rFont val="Tahoma"/>
            <family val="2"/>
          </rPr>
          <t xml:space="preserve">
VMW 2.80 put aug 25
M 22 puts aug 11 (4 puts)</t>
        </r>
      </text>
    </comment>
    <comment ref="J126" authorId="1" shapeId="0" xr:uid="{00000000-0006-0000-0200-000008000000}">
      <text>
        <r>
          <rPr>
            <b/>
            <sz val="9"/>
            <color indexed="81"/>
            <rFont val="Tahoma"/>
            <family val="2"/>
          </rPr>
          <t>cneophytou:</t>
        </r>
        <r>
          <rPr>
            <sz val="9"/>
            <color indexed="81"/>
            <rFont val="Tahoma"/>
            <family val="2"/>
          </rPr>
          <t xml:space="preserve">
Buying 2 call options of MOMO at 46 strike OTM (paying 1.05 and 0.20 for them at different times). 
Could not Sell back OTM, NetGain = -1.25-0.10 =-1.35
Selling 1 put of MOMO at 42 strike 1.05 premium, Buying it back at 0.20, Net Gain=1.05-0.20-0.10 = 0.75
Closing before earnings announcements (I made a mistake in the earnings date, earnings is next week)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Christos Neophytou</author>
  </authors>
  <commentList>
    <comment ref="C19" authorId="0" shapeId="0" xr:uid="{00000000-0006-0000-0300-000001000000}">
      <text>
        <r>
          <rPr>
            <b/>
            <sz val="9"/>
            <color indexed="81"/>
            <rFont val="Tahoma"/>
            <family val="2"/>
          </rPr>
          <t>Christos Neophytou:</t>
        </r>
        <r>
          <rPr>
            <sz val="9"/>
            <color indexed="81"/>
            <rFont val="Tahoma"/>
            <family val="2"/>
          </rPr>
          <t xml:space="preserve">
When you SELL a PUT option then you have the OBLIGATION to BUY the stock at the strike price you have selected.
You will end up buying the stock (the stock will be "put" to you) if
        a. The Stock Price &lt; Strike Price (even by $0.01) during expiration  (expires ITM)
        b. The Stock Price &lt; Strike Price before expiration if the PUT buyer decides to exercise his right to sell you the stock. This is very unlikely to happen but it can happen.
When you sell put options you would like to choose a Strike Price is that below the Stock Price.
i.e. the option put is OTM (Out of the Money)</t>
        </r>
      </text>
    </comment>
    <comment ref="C22" authorId="0" shapeId="0" xr:uid="{00000000-0006-0000-0300-000002000000}">
      <text>
        <r>
          <rPr>
            <b/>
            <sz val="9"/>
            <color indexed="81"/>
            <rFont val="Tahoma"/>
            <family val="2"/>
          </rPr>
          <t>Christos Neophytou:</t>
        </r>
        <r>
          <rPr>
            <sz val="9"/>
            <color indexed="81"/>
            <rFont val="Tahoma"/>
            <family val="2"/>
          </rPr>
          <t xml:space="preserve">
This is the "Bid" Price of the Option </t>
        </r>
      </text>
    </comment>
    <comment ref="C24" authorId="0" shapeId="0" xr:uid="{00000000-0006-0000-0300-000003000000}">
      <text>
        <r>
          <rPr>
            <b/>
            <sz val="9"/>
            <color indexed="81"/>
            <rFont val="Tahoma"/>
            <family val="2"/>
          </rPr>
          <t>Christos Neophytou:</t>
        </r>
        <r>
          <rPr>
            <sz val="9"/>
            <color indexed="81"/>
            <rFont val="Tahoma"/>
            <family val="2"/>
          </rPr>
          <t xml:space="preserve">
Used to Calculate Yearly ROI</t>
        </r>
      </text>
    </comment>
    <comment ref="C25" authorId="0" shapeId="0" xr:uid="{00000000-0006-0000-0300-000004000000}">
      <text>
        <r>
          <rPr>
            <b/>
            <sz val="9"/>
            <color indexed="81"/>
            <rFont val="Tahoma"/>
            <family val="2"/>
          </rPr>
          <t>Christos Neophytou:</t>
        </r>
        <r>
          <rPr>
            <sz val="9"/>
            <color indexed="81"/>
            <rFont val="Tahoma"/>
            <family val="2"/>
          </rPr>
          <t xml:space="preserve">
1: Means that I expect Assignment so there will be an extra assignment cost when the options are assigned to me.</t>
        </r>
      </text>
    </comment>
    <comment ref="C44" authorId="0" shapeId="0" xr:uid="{00000000-0006-0000-0300-000005000000}">
      <text>
        <r>
          <rPr>
            <b/>
            <sz val="9"/>
            <color indexed="81"/>
            <rFont val="Tahoma"/>
            <family val="2"/>
          </rPr>
          <t>Christos Neophytou:</t>
        </r>
        <r>
          <rPr>
            <sz val="9"/>
            <color indexed="81"/>
            <rFont val="Tahoma"/>
            <family val="2"/>
          </rPr>
          <t xml:space="preserve">
When you SELL a CALL option then you have the OBLIGATION to SELL the stock you own at the strike price you have chosen.
You will end up selling the stock (the stock will be "called away" from you) if
        a. The Stock Price &gt; Strike Price (even by $0.01) during expiration (expires ITM)
        b. The Stock Price &gt; Strike Price before expiration if the CALL buyer decides to exercise his right to buy you the stock. This is very unlikely to happen but it can happen.
When you sell call options you would like to choose a Strike Price is that ABOVE the Stock Price.
i.e. the option call should be OTM (Out of the Money)</t>
        </r>
      </text>
    </comment>
    <comment ref="C47" authorId="0" shapeId="0" xr:uid="{00000000-0006-0000-0300-000006000000}">
      <text>
        <r>
          <rPr>
            <b/>
            <sz val="9"/>
            <color indexed="81"/>
            <rFont val="Tahoma"/>
            <family val="2"/>
          </rPr>
          <t>Christos Neophytou:</t>
        </r>
        <r>
          <rPr>
            <sz val="9"/>
            <color indexed="81"/>
            <rFont val="Tahoma"/>
            <family val="2"/>
          </rPr>
          <t xml:space="preserve">
This is the "Bid" Price of the Option </t>
        </r>
      </text>
    </comment>
    <comment ref="C50" authorId="0" shapeId="0" xr:uid="{00000000-0006-0000-0300-000007000000}">
      <text>
        <r>
          <rPr>
            <b/>
            <sz val="9"/>
            <color indexed="81"/>
            <rFont val="Tahoma"/>
            <family val="2"/>
          </rPr>
          <t>Christos Neophytou:</t>
        </r>
        <r>
          <rPr>
            <sz val="9"/>
            <color indexed="81"/>
            <rFont val="Tahoma"/>
            <family val="2"/>
          </rPr>
          <t xml:space="preserve">
This is the price at which you purchased the stock that you own.
You can sell Covered Call Options only if you currently own stocks.
If you own 500 shares of SPY you can sell 5 Call Contracts of SPY.</t>
        </r>
      </text>
    </comment>
    <comment ref="C51" authorId="0" shapeId="0" xr:uid="{00000000-0006-0000-0300-000008000000}">
      <text>
        <r>
          <rPr>
            <b/>
            <sz val="9"/>
            <color indexed="81"/>
            <rFont val="Tahoma"/>
            <family val="2"/>
          </rPr>
          <t>Christos Neophytou:</t>
        </r>
        <r>
          <rPr>
            <sz val="9"/>
            <color indexed="81"/>
            <rFont val="Tahoma"/>
            <family val="2"/>
          </rPr>
          <t xml:space="preserve">
1: Means that I expect Assignment so there will be an extra assignment cost when the options are assigned to me.</t>
        </r>
      </text>
    </comment>
    <comment ref="C83" authorId="0" shapeId="0" xr:uid="{00000000-0006-0000-0300-000009000000}">
      <text>
        <r>
          <rPr>
            <b/>
            <sz val="9"/>
            <color indexed="81"/>
            <rFont val="Tahoma"/>
            <family val="2"/>
          </rPr>
          <t>Christos Neophytou:</t>
        </r>
        <r>
          <rPr>
            <sz val="9"/>
            <color indexed="81"/>
            <rFont val="Tahoma"/>
            <family val="2"/>
          </rPr>
          <t xml:space="preserve">
Using the Old Strike Price because this is the amount of money that was initially frozen in order to place the order.
Off course with the new strike price we need to freeze less money.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Christos Neophytou</author>
  </authors>
  <commentList>
    <comment ref="A2" authorId="0" shapeId="0" xr:uid="{00000000-0006-0000-0500-000001000000}">
      <text>
        <r>
          <rPr>
            <b/>
            <sz val="9"/>
            <color indexed="81"/>
            <rFont val="Tahoma"/>
            <family val="2"/>
          </rPr>
          <t>Christos Neophytou:</t>
        </r>
        <r>
          <rPr>
            <sz val="9"/>
            <color indexed="81"/>
            <rFont val="Tahoma"/>
            <family val="2"/>
          </rPr>
          <t xml:space="preserve">
x. Developed by Black, Scholes and Merton in 1973.
x. 1997 Nobel Prize in Economics to Scholes and Merton (Black passed away in 1995)</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Christos Neophytou</author>
  </authors>
  <commentList>
    <comment ref="G10" authorId="0" shapeId="0" xr:uid="{00000000-0006-0000-0600-000001000000}">
      <text>
        <r>
          <rPr>
            <b/>
            <sz val="9"/>
            <color indexed="81"/>
            <rFont val="Tahoma"/>
            <family val="2"/>
          </rPr>
          <t>Christos Neophytou:</t>
        </r>
        <r>
          <rPr>
            <sz val="9"/>
            <color indexed="81"/>
            <rFont val="Tahoma"/>
            <family val="2"/>
          </rPr>
          <t xml:space="preserve">
When you SELL a PUT option then you have the OBLIGATION to BUY the stock at the strike price you have selected.
You will end up buying the stock (the stock will be "put" to you) if
        a. The Stock Price &lt; Strike Price (even by $0.01) during expiration  (expires ITM)
        b. The Stock Price &lt; Strike Price before expiration if the PUT buyer decides to exercise his right to sell you the stock. This is very unlikely to happen but it can happen.
When you sell put options you would like to choose a Strike Price is that below the Stock Price.
i.e. the option put is OTM (Out of the Money)</t>
        </r>
      </text>
    </comment>
    <comment ref="G13" authorId="0" shapeId="0" xr:uid="{00000000-0006-0000-0600-000002000000}">
      <text>
        <r>
          <rPr>
            <b/>
            <sz val="9"/>
            <color indexed="81"/>
            <rFont val="Tahoma"/>
            <family val="2"/>
          </rPr>
          <t>Christos Neophytou:</t>
        </r>
        <r>
          <rPr>
            <sz val="9"/>
            <color indexed="81"/>
            <rFont val="Tahoma"/>
            <family val="2"/>
          </rPr>
          <t xml:space="preserve">
This is the "Bid" Price of the Option </t>
        </r>
      </text>
    </comment>
    <comment ref="G15" authorId="0" shapeId="0" xr:uid="{00000000-0006-0000-0600-000003000000}">
      <text>
        <r>
          <rPr>
            <b/>
            <sz val="9"/>
            <color indexed="81"/>
            <rFont val="Tahoma"/>
            <family val="2"/>
          </rPr>
          <t>Christos Neophytou:</t>
        </r>
        <r>
          <rPr>
            <sz val="9"/>
            <color indexed="81"/>
            <rFont val="Tahoma"/>
            <family val="2"/>
          </rPr>
          <t xml:space="preserve">
Used to Calculate Yearly ROI</t>
        </r>
      </text>
    </comment>
    <comment ref="G16" authorId="0" shapeId="0" xr:uid="{00000000-0006-0000-0600-000004000000}">
      <text>
        <r>
          <rPr>
            <b/>
            <sz val="9"/>
            <color indexed="81"/>
            <rFont val="Tahoma"/>
            <family val="2"/>
          </rPr>
          <t>Christos Neophytou:</t>
        </r>
        <r>
          <rPr>
            <sz val="9"/>
            <color indexed="81"/>
            <rFont val="Tahoma"/>
            <family val="2"/>
          </rPr>
          <t xml:space="preserve">
1: Means that I expect Assignment so there will be an extra assignment cost when the options are assigned to me.</t>
        </r>
      </text>
    </comment>
    <comment ref="G27" authorId="0" shapeId="0" xr:uid="{00000000-0006-0000-0600-000005000000}">
      <text>
        <r>
          <rPr>
            <b/>
            <sz val="9"/>
            <color indexed="81"/>
            <rFont val="Tahoma"/>
            <family val="2"/>
          </rPr>
          <t>Christos Neophytou:</t>
        </r>
        <r>
          <rPr>
            <sz val="9"/>
            <color indexed="81"/>
            <rFont val="Tahoma"/>
            <family val="2"/>
          </rPr>
          <t xml:space="preserve">
When you SELL a CALL option then you have the OBLIGATION to SELL the stock you own at the strike price you have chosen.
You will end up selling the stock (the stock will be "called away" from you) if
        a. The Stock Price &gt; Strike Price (even by $0.01) during expiration (expires ITM)
        b. The Stock Price &gt; Strike Price before expiration if the CALL buyer decides to exercise his right to buy you the stock. This is very unlikely to happen but it can happen.
When you sell call options you would like to choose a Strike Price is that ABOVE the Stock Price.
i.e. the option call should be OTM (Out of the Money)</t>
        </r>
      </text>
    </comment>
    <comment ref="G30" authorId="0" shapeId="0" xr:uid="{00000000-0006-0000-0600-000006000000}">
      <text>
        <r>
          <rPr>
            <b/>
            <sz val="9"/>
            <color indexed="81"/>
            <rFont val="Tahoma"/>
            <family val="2"/>
          </rPr>
          <t>Christos Neophytou:</t>
        </r>
        <r>
          <rPr>
            <sz val="9"/>
            <color indexed="81"/>
            <rFont val="Tahoma"/>
            <family val="2"/>
          </rPr>
          <t xml:space="preserve">
This is the "Bid" Price of the Option </t>
        </r>
      </text>
    </comment>
    <comment ref="G33" authorId="0" shapeId="0" xr:uid="{00000000-0006-0000-0600-000007000000}">
      <text>
        <r>
          <rPr>
            <b/>
            <sz val="9"/>
            <color indexed="81"/>
            <rFont val="Tahoma"/>
            <family val="2"/>
          </rPr>
          <t>Christos Neophytou:</t>
        </r>
        <r>
          <rPr>
            <sz val="9"/>
            <color indexed="81"/>
            <rFont val="Tahoma"/>
            <family val="2"/>
          </rPr>
          <t xml:space="preserve">
This is the price at which you purchased the stock that you own.
You can sell Covered Call Options only if you currently own stocks.
If you own 500 shares of SPY you can sell 5 Call Contracts of SPY.</t>
        </r>
      </text>
    </comment>
    <comment ref="G34" authorId="0" shapeId="0" xr:uid="{00000000-0006-0000-0600-000008000000}">
      <text>
        <r>
          <rPr>
            <b/>
            <sz val="9"/>
            <color indexed="81"/>
            <rFont val="Tahoma"/>
            <family val="2"/>
          </rPr>
          <t>Christos Neophytou:</t>
        </r>
        <r>
          <rPr>
            <sz val="9"/>
            <color indexed="81"/>
            <rFont val="Tahoma"/>
            <family val="2"/>
          </rPr>
          <t xml:space="preserve">
1: Means that I expect Assignment so there will be an extra assignment cost when the options are assigned to me.</t>
        </r>
      </text>
    </comment>
    <comment ref="G58" authorId="0" shapeId="0" xr:uid="{00000000-0006-0000-0600-000009000000}">
      <text>
        <r>
          <rPr>
            <b/>
            <sz val="9"/>
            <color indexed="81"/>
            <rFont val="Tahoma"/>
            <family val="2"/>
          </rPr>
          <t>Christos Neophytou:</t>
        </r>
        <r>
          <rPr>
            <sz val="9"/>
            <color indexed="81"/>
            <rFont val="Tahoma"/>
            <family val="2"/>
          </rPr>
          <t xml:space="preserve">
Using the Old Strike Price because this is the amount of money that was initially frozen in order to place the order.
Off course with the new strike price we need to freeze less money.</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Christos Neophytou</author>
  </authors>
  <commentList>
    <comment ref="G10" authorId="0" shapeId="0" xr:uid="{00000000-0006-0000-0700-000001000000}">
      <text>
        <r>
          <rPr>
            <b/>
            <sz val="9"/>
            <color indexed="81"/>
            <rFont val="Tahoma"/>
            <family val="2"/>
          </rPr>
          <t>Christos Neophytou:</t>
        </r>
        <r>
          <rPr>
            <sz val="9"/>
            <color indexed="81"/>
            <rFont val="Tahoma"/>
            <family val="2"/>
          </rPr>
          <t xml:space="preserve">
When you SELL a PUT option then you have the OBLIGATION to BUY the stock at the strike price you have selected.
You will end up buying the stock (the stock will be "put" to you) if
        a. The Stock Price &lt; Strike Price (even by $0.01) during expiration  (expires ITM)
        b. The Stock Price &lt; Strike Price before expiration if the PUT buyer decides to exercise his right to sell you the stock. This is very unlikely to happen but it can happen.
When you sell put options you would like to choose a Strike Price is that below the Stock Price.
i.e. the option put is OTM (Out of the Money)</t>
        </r>
      </text>
    </comment>
    <comment ref="G13" authorId="0" shapeId="0" xr:uid="{00000000-0006-0000-0700-000002000000}">
      <text>
        <r>
          <rPr>
            <b/>
            <sz val="9"/>
            <color indexed="81"/>
            <rFont val="Tahoma"/>
            <family val="2"/>
          </rPr>
          <t>Christos Neophytou:</t>
        </r>
        <r>
          <rPr>
            <sz val="9"/>
            <color indexed="81"/>
            <rFont val="Tahoma"/>
            <family val="2"/>
          </rPr>
          <t xml:space="preserve">
This is the "Bid" Price of the Option </t>
        </r>
      </text>
    </comment>
    <comment ref="G15" authorId="0" shapeId="0" xr:uid="{00000000-0006-0000-0700-000003000000}">
      <text>
        <r>
          <rPr>
            <b/>
            <sz val="9"/>
            <color indexed="81"/>
            <rFont val="Tahoma"/>
            <family val="2"/>
          </rPr>
          <t>Christos Neophytou:</t>
        </r>
        <r>
          <rPr>
            <sz val="9"/>
            <color indexed="81"/>
            <rFont val="Tahoma"/>
            <family val="2"/>
          </rPr>
          <t xml:space="preserve">
Used to Calculate Yearly ROI</t>
        </r>
      </text>
    </comment>
    <comment ref="G16" authorId="0" shapeId="0" xr:uid="{00000000-0006-0000-0700-000004000000}">
      <text>
        <r>
          <rPr>
            <b/>
            <sz val="9"/>
            <color indexed="81"/>
            <rFont val="Tahoma"/>
            <family val="2"/>
          </rPr>
          <t>Christos Neophytou:</t>
        </r>
        <r>
          <rPr>
            <sz val="9"/>
            <color indexed="81"/>
            <rFont val="Tahoma"/>
            <family val="2"/>
          </rPr>
          <t xml:space="preserve">
1: Means that I expect Assignment so there will be an extra assignment cost when the options are assigned to me.</t>
        </r>
      </text>
    </comment>
    <comment ref="G27" authorId="0" shapeId="0" xr:uid="{00000000-0006-0000-0700-000005000000}">
      <text>
        <r>
          <rPr>
            <b/>
            <sz val="9"/>
            <color indexed="81"/>
            <rFont val="Tahoma"/>
            <family val="2"/>
          </rPr>
          <t>Christos Neophytou:</t>
        </r>
        <r>
          <rPr>
            <sz val="9"/>
            <color indexed="81"/>
            <rFont val="Tahoma"/>
            <family val="2"/>
          </rPr>
          <t xml:space="preserve">
When you SELL a CALL option then you have the OBLIGATION to SELL the stock you own at the strike price you have chosen.
You will end up selling the stock (the stock will be "called away" from you) if
        a. The Stock Price &gt; Strike Price (even by $0.01) during expiration (expires ITM)
        b. The Stock Price &gt; Strike Price before expiration if the CALL buyer decides to exercise his right to buy you the stock. This is very unlikely to happen but it can happen.
When you sell call options you would like to choose a Strike Price is that ABOVE the Stock Price.
i.e. the option call should be OTM (Out of the Money)</t>
        </r>
      </text>
    </comment>
    <comment ref="G30" authorId="0" shapeId="0" xr:uid="{00000000-0006-0000-0700-000006000000}">
      <text>
        <r>
          <rPr>
            <b/>
            <sz val="9"/>
            <color indexed="81"/>
            <rFont val="Tahoma"/>
            <family val="2"/>
          </rPr>
          <t>Christos Neophytou:</t>
        </r>
        <r>
          <rPr>
            <sz val="9"/>
            <color indexed="81"/>
            <rFont val="Tahoma"/>
            <family val="2"/>
          </rPr>
          <t xml:space="preserve">
This is the "Bid" Price of the Option </t>
        </r>
      </text>
    </comment>
    <comment ref="G33" authorId="0" shapeId="0" xr:uid="{00000000-0006-0000-0700-000007000000}">
      <text>
        <r>
          <rPr>
            <b/>
            <sz val="9"/>
            <color indexed="81"/>
            <rFont val="Tahoma"/>
            <family val="2"/>
          </rPr>
          <t>Christos Neophytou:</t>
        </r>
        <r>
          <rPr>
            <sz val="9"/>
            <color indexed="81"/>
            <rFont val="Tahoma"/>
            <family val="2"/>
          </rPr>
          <t xml:space="preserve">
This is the price at which you purchased the stock that you own.
You can sell Covered Call Options only if you currently own stocks.
If you own 500 shares of SPY you can sell 5 Call Contracts of SPY.</t>
        </r>
      </text>
    </comment>
    <comment ref="G34" authorId="0" shapeId="0" xr:uid="{00000000-0006-0000-0700-000008000000}">
      <text>
        <r>
          <rPr>
            <b/>
            <sz val="9"/>
            <color indexed="81"/>
            <rFont val="Tahoma"/>
            <family val="2"/>
          </rPr>
          <t>Christos Neophytou:</t>
        </r>
        <r>
          <rPr>
            <sz val="9"/>
            <color indexed="81"/>
            <rFont val="Tahoma"/>
            <family val="2"/>
          </rPr>
          <t xml:space="preserve">
1: Means that I expect Assignment so there will be an extra assignment cost when the options are assigned to me.</t>
        </r>
      </text>
    </comment>
    <comment ref="G58" authorId="0" shapeId="0" xr:uid="{00000000-0006-0000-0700-000009000000}">
      <text>
        <r>
          <rPr>
            <b/>
            <sz val="9"/>
            <color indexed="81"/>
            <rFont val="Tahoma"/>
            <family val="2"/>
          </rPr>
          <t>Christos Neophytou:</t>
        </r>
        <r>
          <rPr>
            <sz val="9"/>
            <color indexed="81"/>
            <rFont val="Tahoma"/>
            <family val="2"/>
          </rPr>
          <t xml:space="preserve">
Using the Old Strike Price because this is the amount of money that was initially frozen in order to place the order.
Off course with the new strike price we need to freeze less money.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Christos Neophytou</author>
  </authors>
  <commentList>
    <comment ref="K12" authorId="0" shapeId="0" xr:uid="{00000000-0006-0000-0B00-000001000000}">
      <text>
        <r>
          <rPr>
            <b/>
            <sz val="9"/>
            <color indexed="81"/>
            <rFont val="Tahoma"/>
            <family val="2"/>
          </rPr>
          <t>Christos Neophytou:</t>
        </r>
        <r>
          <rPr>
            <sz val="9"/>
            <color indexed="81"/>
            <rFont val="Tahoma"/>
            <family val="2"/>
          </rPr>
          <t xml:space="preserve">
This is the Solver Cost Function (Abs Error) that we would like to bring closer to 0.</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Christos Neophytou</author>
  </authors>
  <commentList>
    <comment ref="F2" authorId="0" shapeId="0" xr:uid="{00000000-0006-0000-0C00-000001000000}">
      <text>
        <r>
          <rPr>
            <b/>
            <sz val="9"/>
            <color indexed="81"/>
            <rFont val="Tahoma"/>
            <family val="2"/>
          </rPr>
          <t>Christos Neophytou:</t>
        </r>
        <r>
          <rPr>
            <sz val="9"/>
            <color indexed="81"/>
            <rFont val="Tahoma"/>
            <family val="2"/>
          </rPr>
          <t xml:space="preserve">
Description
========
This spreadsheet is used to let you calculate your new cost per share of a stock after you decided to sell your stock at a loss. If you sell your stock at a loss, wait 30 days and rebuy the stock you will be at a position to own the same stock at a lower price.
Example:
-------------
Say you bought a stock at $18/share (InitialBuyingPrice=$18).
The stock has gone down and you decide to sell it at a price of $15 (SellingPrice=$15).
You see the price go down more and you believe that the stock price will go up again.
You buy the stock at a lower price than the InitialBuyingPrice of $18, say at $14.
What is your Cost of owning your shares now?
Previously it was $18. 
Now it is $14 + ($18-$15) = $17 (with no tax advantage)
With Tax Advantage (say 30% tax bracket, i.e. you can claim the loss with taxes and get 30% back)
New Cost Per Share = $14 + ($18-$15)*(1-0.3) = $16.1
So instead of the stock costing you $18/share it will now cost you $16.1/share.
The stock needs to go up to $16.1/share to break even instead of $18.</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Christos Neophytou</author>
  </authors>
  <commentList>
    <comment ref="A2" authorId="0" shapeId="0" xr:uid="{00000000-0006-0000-0D00-000001000000}">
      <text>
        <r>
          <rPr>
            <b/>
            <sz val="9"/>
            <color indexed="81"/>
            <rFont val="Tahoma"/>
            <family val="2"/>
          </rPr>
          <t>Christos Neophytou:</t>
        </r>
        <r>
          <rPr>
            <sz val="9"/>
            <color indexed="81"/>
            <rFont val="Tahoma"/>
            <family val="2"/>
          </rPr>
          <t xml:space="preserve">
Note that sigma*sqrt(t) always appears as one factor in the BS model.
So the TimeValue will be a function of sigma*sqrt(t) and no need to investigate its relationship as a function of sigma and t separately!!!
We look at typical values of sigma and t and we can generate the typical range of  sigma*sqrt(t) factor.
sigma = 10% - 60%, Tdays = 7 days - 365 days (t%=2% - 100% --&gt; sqrt(t%)=10% - 100%)
sigma*sqrt(t%) --&gt; 1% - 60%
Average = 15%
Std = 15%
Most of the values are around the 10%</t>
        </r>
      </text>
    </comment>
  </commentList>
</comments>
</file>

<file path=xl/sharedStrings.xml><?xml version="1.0" encoding="utf-8"?>
<sst xmlns="http://schemas.openxmlformats.org/spreadsheetml/2006/main" count="2646" uniqueCount="714">
  <si>
    <t>SPY</t>
  </si>
  <si>
    <t>AAPL</t>
  </si>
  <si>
    <t>Selling Put Options</t>
  </si>
  <si>
    <t># of Puts</t>
  </si>
  <si>
    <t># of Shares</t>
  </si>
  <si>
    <t># of Calls</t>
  </si>
  <si>
    <t>Option Sale</t>
  </si>
  <si>
    <t>Strike Price</t>
  </si>
  <si>
    <t>Yearly Return</t>
  </si>
  <si>
    <t>Selling Call Options</t>
  </si>
  <si>
    <t># of Weeks Till Expiration</t>
  </si>
  <si>
    <t>Stock Symbol</t>
  </si>
  <si>
    <t>Commision Fees</t>
  </si>
  <si>
    <t>Cost Per Trade</t>
  </si>
  <si>
    <t>Cost Per Contract</t>
  </si>
  <si>
    <t>Cost of Assignment</t>
  </si>
  <si>
    <t>Scottrade</t>
  </si>
  <si>
    <t>TD Ameritrade</t>
  </si>
  <si>
    <t>Vanguard</t>
  </si>
  <si>
    <t>MyBroker</t>
  </si>
  <si>
    <t>Yahoo Link For Options</t>
  </si>
  <si>
    <t>http://finance.yahoo.com/q/op?s=SPY&amp;date=1435795200</t>
  </si>
  <si>
    <t>Required Cash</t>
  </si>
  <si>
    <t>Do I expect Assignment?</t>
  </si>
  <si>
    <t>Stock Purchase Price</t>
  </si>
  <si>
    <t>Stock Total Cost</t>
  </si>
  <si>
    <t>Profit From Stock Assignment</t>
  </si>
  <si>
    <t>Yearly Return (Stock Assignment)</t>
  </si>
  <si>
    <t>Profit From Option Premium</t>
  </si>
  <si>
    <t>INPUTS</t>
  </si>
  <si>
    <t>Option Premium</t>
  </si>
  <si>
    <t>Commission Fees</t>
  </si>
  <si>
    <t>JP Morgan</t>
  </si>
  <si>
    <t>T</t>
  </si>
  <si>
    <t>Total Profit</t>
  </si>
  <si>
    <t>Intrinsic Value</t>
  </si>
  <si>
    <t>Time Value</t>
  </si>
  <si>
    <t>FOR KHALID - Black-Scholes Option Pricing Model (Simplified)</t>
  </si>
  <si>
    <t>Stock Price</t>
  </si>
  <si>
    <t>S0</t>
  </si>
  <si>
    <t>X</t>
  </si>
  <si>
    <t>Time till Expiration(days)</t>
  </si>
  <si>
    <t>Time (%)</t>
  </si>
  <si>
    <t>t</t>
  </si>
  <si>
    <t>Number of Calendar Days divided by 365 (% of time in years)</t>
  </si>
  <si>
    <t>Volatility</t>
  </si>
  <si>
    <t>sigma</t>
  </si>
  <si>
    <t>Step By Step Calculation</t>
  </si>
  <si>
    <t>OUTPUTS</t>
  </si>
  <si>
    <t>G</t>
  </si>
  <si>
    <t>d1</t>
  </si>
  <si>
    <t>d2</t>
  </si>
  <si>
    <t>G - 0.5*sigma*sqrt(t)</t>
  </si>
  <si>
    <t>N(d1)</t>
  </si>
  <si>
    <t>N(d2)</t>
  </si>
  <si>
    <t>Normal CDF(d2) with mean=0, std=1</t>
  </si>
  <si>
    <t>CALL Option Premium</t>
  </si>
  <si>
    <t>C</t>
  </si>
  <si>
    <t>S0*N(d1) - X*N(d2)</t>
  </si>
  <si>
    <t>PUT Option Premium</t>
  </si>
  <si>
    <t>P</t>
  </si>
  <si>
    <t>C + (X - S0)</t>
  </si>
  <si>
    <t xml:space="preserve">Add Dividend Calculation to help decide best Strike Price </t>
  </si>
  <si>
    <t>Call Premium vs Time</t>
  </si>
  <si>
    <t>Time</t>
  </si>
  <si>
    <t>S0-X</t>
  </si>
  <si>
    <t>X-S0</t>
  </si>
  <si>
    <t>INFO</t>
  </si>
  <si>
    <t>V, CALL 70, 0.28-0.34, July 17 Expiration, 8 Calls</t>
  </si>
  <si>
    <t>Commision Fees (%)</t>
  </si>
  <si>
    <t>T CALL 35.50, 0.21, July 17 Expiration, 19 Calls</t>
  </si>
  <si>
    <t>Wait till price is higher and sell long term options</t>
  </si>
  <si>
    <t>USO</t>
  </si>
  <si>
    <t>USO, PUT 17, 0.16, July 17 Exp, 16 PUTs</t>
  </si>
  <si>
    <t xml:space="preserve">USO, CALL 21, 0.19, </t>
  </si>
  <si>
    <t>Sell Long Term. Wait for the Oil price to rise</t>
  </si>
  <si>
    <t>Get up early Mon during Pre Market Watch the Prices (To pick better Strike Prices)</t>
  </si>
  <si>
    <t>Read the news to see what to expect Mon and next week (Greece, Iran)</t>
  </si>
  <si>
    <t>ERIC, CALL 12,</t>
  </si>
  <si>
    <t>Sell Long Term. Wait for prices to rise</t>
  </si>
  <si>
    <t>SPY, CALL 208/209, 1.67, July 17 Exp, 5 CALLS</t>
  </si>
  <si>
    <t>AAPL, PUT 123/124, 1.71, July 17 Exp, 6 PUTs</t>
  </si>
  <si>
    <t>Sell in 2-3 steps (</t>
  </si>
  <si>
    <t>Yearly Return (Premium)</t>
  </si>
  <si>
    <t>Yearly Return (Total)</t>
  </si>
  <si>
    <t>OIL</t>
  </si>
  <si>
    <t>ERIC</t>
  </si>
  <si>
    <t>AMZN</t>
  </si>
  <si>
    <t>Week Ending</t>
  </si>
  <si>
    <t>Revenue</t>
  </si>
  <si>
    <t>Profit</t>
  </si>
  <si>
    <t>VXX</t>
  </si>
  <si>
    <t>M</t>
  </si>
  <si>
    <t>SBUX</t>
  </si>
  <si>
    <t>Dividends</t>
  </si>
  <si>
    <t>delta</t>
  </si>
  <si>
    <t>theta</t>
  </si>
  <si>
    <t>New Buying Price (After Selling at a Loss)</t>
  </si>
  <si>
    <t>Selling Price (at a Loss)</t>
  </si>
  <si>
    <t>Initial Buying Price</t>
  </si>
  <si>
    <t>Tax Bracket</t>
  </si>
  <si>
    <t>README</t>
  </si>
  <si>
    <t>Loss Per Share</t>
  </si>
  <si>
    <t>New Buying Price to Match the Initial Cost</t>
  </si>
  <si>
    <t>Comments</t>
  </si>
  <si>
    <t>Price at which you initially purchased the stock</t>
  </si>
  <si>
    <t>Price at which you decided to sell the stock</t>
  </si>
  <si>
    <t>Price you decided to repurchase the stock</t>
  </si>
  <si>
    <t>Loss per share. This is the loss per share including tax benefit</t>
  </si>
  <si>
    <t>This is the new cost per share (or cost basis) of your stock after selling and purchasing again after 30 days</t>
  </si>
  <si>
    <t>Tax Benefit</t>
  </si>
  <si>
    <t>Buy the Stock again at this price or lower so that you will be at a better position. SP + TaxBenefit</t>
  </si>
  <si>
    <t>This is the money you will get back from the IRS due to investment loss (note max loss per year is $3,000)</t>
  </si>
  <si>
    <t>Updated Cost Per Share (New Cost Basis)</t>
  </si>
  <si>
    <t>div T</t>
  </si>
  <si>
    <t>div AAPL</t>
  </si>
  <si>
    <t>Buy to Close</t>
  </si>
  <si>
    <t>WMT</t>
  </si>
  <si>
    <t>Stocks Exercised</t>
  </si>
  <si>
    <t>Income</t>
  </si>
  <si>
    <t>TaxBracket</t>
  </si>
  <si>
    <t>Tax</t>
  </si>
  <si>
    <t>Income Tax Rate</t>
  </si>
  <si>
    <t>Year 2014</t>
  </si>
  <si>
    <t>Income - 10K</t>
  </si>
  <si>
    <t>ln(x)</t>
  </si>
  <si>
    <t>ln(y)</t>
  </si>
  <si>
    <t>SINGLE</t>
  </si>
  <si>
    <t>Marital Status</t>
  </si>
  <si>
    <t>Short Term Capital Gains Tax Rate/Ordinary Income Tax Rate/Effective Tax Rate</t>
  </si>
  <si>
    <t>Married Filling Jointly</t>
  </si>
  <si>
    <t>Single</t>
  </si>
  <si>
    <t>Head of Household</t>
  </si>
  <si>
    <t>Long Term Capital Gains Tax Rate</t>
  </si>
  <si>
    <t>OUTPUT</t>
  </si>
  <si>
    <t>INPUT</t>
  </si>
  <si>
    <t>PROCESSING</t>
  </si>
  <si>
    <t>Tax Amount</t>
  </si>
  <si>
    <t>Max Amount/Bracket</t>
  </si>
  <si>
    <t>Income Distribution</t>
  </si>
  <si>
    <t>% of Income Distribution</t>
  </si>
  <si>
    <t>Short Term Capital Gain Status</t>
  </si>
  <si>
    <t>Long Term Capital Gain Status</t>
  </si>
  <si>
    <t>Net Capital Gain Status</t>
  </si>
  <si>
    <t>Long Term Capital Gains Tax Owed to IRS</t>
  </si>
  <si>
    <t>Short Term Capital Gains Tax Owed to IRS</t>
  </si>
  <si>
    <t>GAIN</t>
  </si>
  <si>
    <t>LOSS</t>
  </si>
  <si>
    <t>Dominant</t>
  </si>
  <si>
    <t>Doesn't Matter</t>
  </si>
  <si>
    <t>Long Term</t>
  </si>
  <si>
    <t>Short Term</t>
  </si>
  <si>
    <t>Tax Rate is SHORT Term on the NetGain (i.e. Loss from Long Term has a tax benefit at Short Term Rate instead of Long Term Rate</t>
  </si>
  <si>
    <t>Tax Rate is Long Term for Long Term Gain and Tax Rate = Short Term for Short Term Gain</t>
  </si>
  <si>
    <t>Tax Rate is LONG Term on the NetGain (i.e. Loss from Short Term has a tax benefit at Long Term Rate instead of Short Term Rate)</t>
  </si>
  <si>
    <t>Claim up to $3,000 the NetLoss at Short Term Tax Rate. If more carry forward as short term loss</t>
  </si>
  <si>
    <t>Claim up to $3,000 the NetLoss at Long Term Tax Rate. If more carry forward as Long term loss</t>
  </si>
  <si>
    <t>Net</t>
  </si>
  <si>
    <t>Long_Short_Net</t>
  </si>
  <si>
    <t>Long Term Tax Rate</t>
  </si>
  <si>
    <t>Short Term Tax Rate</t>
  </si>
  <si>
    <t>LT</t>
  </si>
  <si>
    <t>ST</t>
  </si>
  <si>
    <t>Long Term Carry Over Loss</t>
  </si>
  <si>
    <t>Short Term Carry Over Loss</t>
  </si>
  <si>
    <t>Buy &amp; Sell</t>
  </si>
  <si>
    <t>V</t>
  </si>
  <si>
    <t>LT Gain</t>
  </si>
  <si>
    <t>ALU</t>
  </si>
  <si>
    <t>Total Gain</t>
  </si>
  <si>
    <t>ST Gain</t>
  </si>
  <si>
    <t>ALU + V</t>
  </si>
  <si>
    <t>Total</t>
  </si>
  <si>
    <t>My Short Tem Trading</t>
  </si>
  <si>
    <t>Short Term Trading Loss</t>
  </si>
  <si>
    <t xml:space="preserve">Update this number from Scottrade </t>
  </si>
  <si>
    <t>401K ($410K funds)</t>
  </si>
  <si>
    <t># of Weeks</t>
  </si>
  <si>
    <t>Meryl Lynch</t>
  </si>
  <si>
    <t>Open Orders</t>
  </si>
  <si>
    <t>S</t>
  </si>
  <si>
    <t>CTL</t>
  </si>
  <si>
    <t>IV</t>
  </si>
  <si>
    <t>div WFM</t>
  </si>
  <si>
    <t>WFM</t>
  </si>
  <si>
    <t>div S, AAPL</t>
  </si>
  <si>
    <t>div SBUX</t>
  </si>
  <si>
    <t>IV(%)</t>
  </si>
  <si>
    <t>T(days)</t>
  </si>
  <si>
    <t>t(%)</t>
  </si>
  <si>
    <t>Strike</t>
  </si>
  <si>
    <t>Price</t>
  </si>
  <si>
    <t>b(t)</t>
  </si>
  <si>
    <t>Time Value = b(t)*IV(%)</t>
  </si>
  <si>
    <t>t(days)</t>
  </si>
  <si>
    <t>b(t)/bmax</t>
  </si>
  <si>
    <t>t/tmax</t>
  </si>
  <si>
    <t>sqrt(t/tmax)</t>
  </si>
  <si>
    <t>A0</t>
  </si>
  <si>
    <t>x</t>
  </si>
  <si>
    <t>N(d1)-0.5</t>
  </si>
  <si>
    <t>X/(sqrt(2*pi)*sqrt(t/365)</t>
  </si>
  <si>
    <t>ATM Value = [1/sqrt(2*pi)]*sqrt(t/365)*IV(%)</t>
  </si>
  <si>
    <t>ATM Value</t>
  </si>
  <si>
    <t>norm(x)</t>
  </si>
  <si>
    <t>norm(-x)</t>
  </si>
  <si>
    <t>At the Money (ATM) Option Analysis. Time Value</t>
  </si>
  <si>
    <t>ATM Distance</t>
  </si>
  <si>
    <t>ATM Distance (%)</t>
  </si>
  <si>
    <t>i</t>
  </si>
  <si>
    <t>Step</t>
  </si>
  <si>
    <t>Tdays</t>
  </si>
  <si>
    <t>Intrinsic</t>
  </si>
  <si>
    <t>I</t>
  </si>
  <si>
    <t>d1/sqrt(2*pi)</t>
  </si>
  <si>
    <t>CALL OPTION MATRIX - (Time Value/ATM Value)</t>
  </si>
  <si>
    <t>Hardy Approximation</t>
  </si>
  <si>
    <t>(S0-X)*N(d1) + sigma*sqrt(t)/sqrt(2*pi)*exp(-0.5*d1^2)</t>
  </si>
  <si>
    <t>Approximations</t>
  </si>
  <si>
    <t>abs(S0-X)/X</t>
  </si>
  <si>
    <t>ExpCoeff</t>
  </si>
  <si>
    <t>1/sqrt(t%)</t>
  </si>
  <si>
    <t>1/sigma</t>
  </si>
  <si>
    <t>1/(sigma*sqrt(t))</t>
  </si>
  <si>
    <t xml:space="preserve">CALL OPTION Data to generate an Empirical Model for Call Option (Time Value/ATM Value) = exp(-ATMDistance/f(sigma*sqrt(t)). F(x) ~x(a0+a1*x). </t>
  </si>
  <si>
    <t>sigma (IV%)</t>
  </si>
  <si>
    <t>sigma*sqrt(t%)</t>
  </si>
  <si>
    <t>j</t>
  </si>
  <si>
    <t>k</t>
  </si>
  <si>
    <t>ATMDistance(%)</t>
  </si>
  <si>
    <t>IV% (sigma)</t>
  </si>
  <si>
    <t>IV% (sigma)\Tdays</t>
  </si>
  <si>
    <t>ATMPrice</t>
  </si>
  <si>
    <t>ATMPrice(%)</t>
  </si>
  <si>
    <t>TimeValue(%)</t>
  </si>
  <si>
    <t>TimeValue</t>
  </si>
  <si>
    <t>Black Scholes</t>
  </si>
  <si>
    <t xml:space="preserve">CALL OPTION Data to generate an Empirical Model for Call Option (Time Value/ATM Value) = exp(-ATMDistance/f(sigma*sqrt(t)). f(x) ~x(a0+a1*x). </t>
  </si>
  <si>
    <t>G=ln(1+ATMDistance%)/u</t>
  </si>
  <si>
    <t>u=sigma*sqrt(t%)</t>
  </si>
  <si>
    <t>d1=G+0.5*u</t>
  </si>
  <si>
    <t>0.5+d1/sqrt(2*pi())</t>
  </si>
  <si>
    <t>y=u</t>
  </si>
  <si>
    <t>Swap Options</t>
  </si>
  <si>
    <t>Buy to Close Premium</t>
  </si>
  <si>
    <t>Sell to Open Premium</t>
  </si>
  <si>
    <t># of Contracts</t>
  </si>
  <si>
    <t>New Strike</t>
  </si>
  <si>
    <t>Net Gain from Swap</t>
  </si>
  <si>
    <t>f(u)</t>
  </si>
  <si>
    <t>f(u)=u*(a0+a1*u)</t>
  </si>
  <si>
    <t>a0</t>
  </si>
  <si>
    <t>a1</t>
  </si>
  <si>
    <t>Select THESE</t>
  </si>
  <si>
    <t>Select ATM Distance(%)</t>
  </si>
  <si>
    <t>u</t>
  </si>
  <si>
    <t>f(u)=a2*u^2</t>
  </si>
  <si>
    <t>a2</t>
  </si>
  <si>
    <t>a2*u^2</t>
  </si>
  <si>
    <t>different Function</t>
  </si>
  <si>
    <t>&lt;6% we have a2*u^2</t>
  </si>
  <si>
    <t>f(u)=(u-0.3)^2 - a3</t>
  </si>
  <si>
    <t>a3</t>
  </si>
  <si>
    <t>u-f(u)=u-{-ATMDistance(%)/ln(TimeValue(%)}</t>
  </si>
  <si>
    <t>z=u-f(u)</t>
  </si>
  <si>
    <t>u-a2*u^2</t>
  </si>
  <si>
    <t>f(u)={-ATMDistance(%)/ln(TimeValue(%)}</t>
  </si>
  <si>
    <t>A2</t>
  </si>
  <si>
    <t>f(u)-{u - a2*u^2}</t>
  </si>
  <si>
    <t>sigma*sqrt(t)</t>
  </si>
  <si>
    <t>u*(1-a2*u), a2=1/[0.5+100*ATMDistance(%)]</t>
  </si>
  <si>
    <t>Christos</t>
  </si>
  <si>
    <t>Christos Simple</t>
  </si>
  <si>
    <t>Old Strike</t>
  </si>
  <si>
    <t>Cash Needed for the Swap</t>
  </si>
  <si>
    <t>Frozen Cash</t>
  </si>
  <si>
    <t>Error</t>
  </si>
  <si>
    <t>Option 1</t>
  </si>
  <si>
    <t>Current Price, P</t>
  </si>
  <si>
    <t>Original Strike, X1</t>
  </si>
  <si>
    <t>Option Premium, C1</t>
  </si>
  <si>
    <t>Intrinsic Value, I1</t>
  </si>
  <si>
    <t>Time Value, T1</t>
  </si>
  <si>
    <t>Time till Expiration (days)</t>
  </si>
  <si>
    <t>Time till Expiration, t1(%)</t>
  </si>
  <si>
    <t>Volatility, sigma1(%)</t>
  </si>
  <si>
    <t>ATM Price</t>
  </si>
  <si>
    <t>u1</t>
  </si>
  <si>
    <t>Intrinsic + ATMPrice*exp(-ATMDistance(%)/f(u))</t>
  </si>
  <si>
    <t>Intrinsic + ATMPrice*exp(-ATMDistance(%)/u)</t>
  </si>
  <si>
    <t>G + 0.5*sigma*sqrt(t) = ln(1+ATMDistance(%))/u +0.5*u</t>
  </si>
  <si>
    <t>ATM Distance(%)</t>
  </si>
  <si>
    <t>BS Model</t>
  </si>
  <si>
    <t>Normalized Time Value, T1/ATMPrice</t>
  </si>
  <si>
    <t>(Intrinsic Value)*(delta) + (ATMPrice)*exp(-0.5*d1^2)</t>
  </si>
  <si>
    <t>sigma*sqrt(t)/sqrt(2*pi)*X~0.4*u*X</t>
  </si>
  <si>
    <t>Christos Model</t>
  </si>
  <si>
    <t>Option 2</t>
  </si>
  <si>
    <t>Volatility, sigma2(%)</t>
  </si>
  <si>
    <t>Time till Expiration, t2(%)</t>
  </si>
  <si>
    <t>New Time Expiration to Match Option</t>
  </si>
  <si>
    <t>CALL Option Swap (CALL ROLL UP)</t>
  </si>
  <si>
    <t>Option Premium, C2</t>
  </si>
  <si>
    <t>Intrinsic Value, I2</t>
  </si>
  <si>
    <t>Time Value, T2</t>
  </si>
  <si>
    <t>Normalized Time Value, T2/ATMPrice</t>
  </si>
  <si>
    <t>u2</t>
  </si>
  <si>
    <t>t1(days)</t>
  </si>
  <si>
    <t>d%</t>
  </si>
  <si>
    <t>(P-X1)/X1</t>
  </si>
  <si>
    <t>X2-X1</t>
  </si>
  <si>
    <t>dt</t>
  </si>
  <si>
    <t>t2-t1</t>
  </si>
  <si>
    <t>X1</t>
  </si>
  <si>
    <t>X2</t>
  </si>
  <si>
    <t>t2(days)</t>
  </si>
  <si>
    <t>Simple</t>
  </si>
  <si>
    <t>dX</t>
  </si>
  <si>
    <t>Duration of Freezing the Cash(weeks)</t>
  </si>
  <si>
    <t>ROI(%)</t>
  </si>
  <si>
    <t>dX%</t>
  </si>
  <si>
    <t>d%=dX%</t>
  </si>
  <si>
    <t>Black-Scholes</t>
  </si>
  <si>
    <t>dX%=2*d%</t>
  </si>
  <si>
    <t>New Strike, X2</t>
  </si>
  <si>
    <t>dt (extra time for swap)</t>
  </si>
  <si>
    <t>Swap Options Same Stock</t>
  </si>
  <si>
    <t>Swap Options Different Stock</t>
  </si>
  <si>
    <t>Buy to Close Stock</t>
  </si>
  <si>
    <t>Premium Ask</t>
  </si>
  <si>
    <t>Sell to Open Stock</t>
  </si>
  <si>
    <t>Premium Bid</t>
  </si>
  <si>
    <t>Frozen Cash Before Swap</t>
  </si>
  <si>
    <t>Frozen Cash After Swap</t>
  </si>
  <si>
    <t>Cash Paid for the Swap</t>
  </si>
  <si>
    <t>Cash Made for the Swap</t>
  </si>
  <si>
    <t>abs Error</t>
  </si>
  <si>
    <t>Solver Cost Function (Run Data --&gt; Solver)</t>
  </si>
  <si>
    <t>VZ</t>
  </si>
  <si>
    <t>div T, WFM</t>
  </si>
  <si>
    <t>div AAPL, SBUX</t>
  </si>
  <si>
    <t>t2</t>
  </si>
  <si>
    <t>cash</t>
  </si>
  <si>
    <t>TSLA</t>
  </si>
  <si>
    <t>Calculator (# of days)</t>
  </si>
  <si>
    <t># of shares</t>
  </si>
  <si>
    <t>SVXY</t>
  </si>
  <si>
    <t>Average Cost Basis</t>
  </si>
  <si>
    <t>Total Cost of Shares</t>
  </si>
  <si>
    <t>Dividend Annual ROI</t>
  </si>
  <si>
    <t>Trading Costs</t>
  </si>
  <si>
    <t>Current Value</t>
  </si>
  <si>
    <t>Absolute Gain</t>
  </si>
  <si>
    <t>div ERIC</t>
  </si>
  <si>
    <t>CAT</t>
  </si>
  <si>
    <t>FB</t>
  </si>
  <si>
    <t>NFLX</t>
  </si>
  <si>
    <t>Averaging Down</t>
  </si>
  <si>
    <t>Buy Price</t>
  </si>
  <si>
    <t>Final Cost Basis</t>
  </si>
  <si>
    <t>Investment</t>
  </si>
  <si>
    <t>div CTL</t>
  </si>
  <si>
    <t>GLD</t>
  </si>
  <si>
    <t>LUV</t>
  </si>
  <si>
    <t>JBLU</t>
  </si>
  <si>
    <t>DEO</t>
  </si>
  <si>
    <t>GDX</t>
  </si>
  <si>
    <t>JPM</t>
  </si>
  <si>
    <t>GOOG</t>
  </si>
  <si>
    <t>DDD</t>
  </si>
  <si>
    <t>CRM</t>
  </si>
  <si>
    <t>VXX_ADJ1</t>
  </si>
  <si>
    <t>WFC</t>
  </si>
  <si>
    <t>KR</t>
  </si>
  <si>
    <t>TWTR</t>
  </si>
  <si>
    <t xml:space="preserve">Earnings </t>
  </si>
  <si>
    <t>Week</t>
  </si>
  <si>
    <t># of days till Earnings</t>
  </si>
  <si>
    <t>Stock</t>
  </si>
  <si>
    <t># of days till Dividend</t>
  </si>
  <si>
    <t>DIS</t>
  </si>
  <si>
    <t>last one was 7/7 but don’t know next one</t>
  </si>
  <si>
    <t>BAC</t>
  </si>
  <si>
    <t>MSFT</t>
  </si>
  <si>
    <t>NVDA</t>
  </si>
  <si>
    <t>CSCO</t>
  </si>
  <si>
    <t>Quick ROI Calculation % (1 week) = Premium/Strike*100/2</t>
  </si>
  <si>
    <t>div WFC</t>
  </si>
  <si>
    <t>% Below Cost</t>
  </si>
  <si>
    <t>PANW</t>
  </si>
  <si>
    <t>MA</t>
  </si>
  <si>
    <t>Premium</t>
  </si>
  <si>
    <t>Annual ROI</t>
  </si>
  <si>
    <t>Exp Date</t>
  </si>
  <si>
    <t>Sell To Open</t>
  </si>
  <si>
    <t>dTime (weeks)</t>
  </si>
  <si>
    <t>ROI</t>
  </si>
  <si>
    <t>Potential</t>
  </si>
  <si>
    <t>div GDX</t>
  </si>
  <si>
    <t>HD</t>
  </si>
  <si>
    <t>CTL Dividend</t>
  </si>
  <si>
    <t>Annual Dividend</t>
  </si>
  <si>
    <t>BBY</t>
  </si>
  <si>
    <t>DPZ</t>
  </si>
  <si>
    <t>EOG</t>
  </si>
  <si>
    <t>TGT</t>
  </si>
  <si>
    <t>PCLN</t>
  </si>
  <si>
    <t>before</t>
  </si>
  <si>
    <t>after</t>
  </si>
  <si>
    <t>Before or After Market</t>
  </si>
  <si>
    <t>MTCH</t>
  </si>
  <si>
    <t>% of My Initial Capital</t>
  </si>
  <si>
    <t>Dividend Quarterly</t>
  </si>
  <si>
    <t>waiting …</t>
  </si>
  <si>
    <t>SNAP</t>
  </si>
  <si>
    <t>IRA</t>
  </si>
  <si>
    <t>Brokerage</t>
  </si>
  <si>
    <t>div VZ, T</t>
  </si>
  <si>
    <t>div KR</t>
  </si>
  <si>
    <t>http://www.nasdaq.com/earnings/report/AAPL</t>
  </si>
  <si>
    <t>Link for Accurate earnings date</t>
  </si>
  <si>
    <t>Date</t>
  </si>
  <si>
    <t>CumSum</t>
  </si>
  <si>
    <t>Taxable Income (Ordinary Income, AGI - Deductions, Line 43 In Form 1040)</t>
  </si>
  <si>
    <t>Taxable Income</t>
  </si>
  <si>
    <t>Amount of LONG Term Capital Gains ($) (Schedule D Line 15)</t>
  </si>
  <si>
    <t>Amount of SHORT Term Capital Gains ($) (Schedule D Line 7)</t>
  </si>
  <si>
    <t xml:space="preserve">Net Capital Gain </t>
  </si>
  <si>
    <t>If NetLoss &lt;= $3,000 claim $3,000 as Short Term. If not then First claim the Short Term Loss up to $3,000 and then carry forward the remaining Short Term and Long Term</t>
  </si>
  <si>
    <t>Effective Tax Rate on Capital Gain</t>
  </si>
  <si>
    <t>AVGO</t>
  </si>
  <si>
    <t>Current Price</t>
  </si>
  <si>
    <t>Margin (%)</t>
  </si>
  <si>
    <t>Based on Cost Basis</t>
  </si>
  <si>
    <t>Based on Current Price</t>
  </si>
  <si>
    <t>Sell Options</t>
  </si>
  <si>
    <t>FIT</t>
  </si>
  <si>
    <t>???</t>
  </si>
  <si>
    <t>VMW</t>
  </si>
  <si>
    <t>Year</t>
  </si>
  <si>
    <t>Buy Options</t>
  </si>
  <si>
    <t>Buy &amp; Sell Options</t>
  </si>
  <si>
    <t>BABA</t>
  </si>
  <si>
    <t>#If string starts with a hashtag, it is commented out.</t>
  </si>
  <si>
    <t>#It is good for grouping and temporaily commenting symbols out</t>
  </si>
  <si>
    <t># The ones I trade</t>
  </si>
  <si>
    <t>#OIL</t>
  </si>
  <si>
    <t>QQQ</t>
  </si>
  <si>
    <t>IWM</t>
  </si>
  <si>
    <t>DIA</t>
  </si>
  <si>
    <t>#SOXX</t>
  </si>
  <si>
    <t># SPXL, SSO</t>
  </si>
  <si>
    <t># S&amp;P500 Sector ETFs</t>
  </si>
  <si>
    <t>XLE</t>
  </si>
  <si>
    <t>XLU</t>
  </si>
  <si>
    <t>XLK</t>
  </si>
  <si>
    <t>XLF</t>
  </si>
  <si>
    <t>#XLFS</t>
  </si>
  <si>
    <t>XLY</t>
  </si>
  <si>
    <t>XLI</t>
  </si>
  <si>
    <t>XLP</t>
  </si>
  <si>
    <t>XLB</t>
  </si>
  <si>
    <t>XLV</t>
  </si>
  <si>
    <t>XHB</t>
  </si>
  <si>
    <t>XRT</t>
  </si>
  <si>
    <t>XME</t>
  </si>
  <si>
    <t># Telecom and High Dividend ETFs</t>
  </si>
  <si>
    <t>#T</t>
  </si>
  <si>
    <t>#ERIC</t>
  </si>
  <si>
    <t># Popular Technology Stocks I am not trading</t>
  </si>
  <si>
    <t>#GOOGL</t>
  </si>
  <si>
    <t>#TWTR</t>
  </si>
  <si>
    <t># 20-year Bond &amp; High Yield Corporate Bond</t>
  </si>
  <si>
    <t xml:space="preserve">TLT </t>
  </si>
  <si>
    <t xml:space="preserve">HYG </t>
  </si>
  <si>
    <t># Dollar Index</t>
  </si>
  <si>
    <t>UUP</t>
  </si>
  <si>
    <t>#GLD</t>
  </si>
  <si>
    <t>#FXE</t>
  </si>
  <si>
    <t>#SLV</t>
  </si>
  <si>
    <t># Dividend ETFs</t>
  </si>
  <si>
    <t>#DVY</t>
  </si>
  <si>
    <t># VIG</t>
  </si>
  <si>
    <t># SCHD</t>
  </si>
  <si>
    <t># SDY</t>
  </si>
  <si>
    <t># DGRO</t>
  </si>
  <si>
    <t># NOBL</t>
  </si>
  <si>
    <t># Overseas ETFs, Emerging Markets</t>
  </si>
  <si>
    <t>#EFA</t>
  </si>
  <si>
    <t># EEM this is he MSCI World Index (Emerging Markets ETF)</t>
  </si>
  <si>
    <t>EEM</t>
  </si>
  <si>
    <t># FM</t>
  </si>
  <si>
    <t># MSCI consists of 22% Samsung, 5% Hundai. Good exposure to Samsung. Emerging Markets ETF lots of Korean Companies here</t>
  </si>
  <si>
    <t>#MSCI</t>
  </si>
  <si>
    <t># Chinese ETFs</t>
  </si>
  <si>
    <t># YINN</t>
  </si>
  <si>
    <t># YANG</t>
  </si>
  <si>
    <t># FXI</t>
  </si>
  <si>
    <t># DAX: Germany index but it does not have options</t>
  </si>
  <si>
    <t># Financials</t>
  </si>
  <si>
    <t>#JPM</t>
  </si>
  <si>
    <t>#GS</t>
  </si>
  <si>
    <t>#WFC</t>
  </si>
  <si>
    <t>#BAC</t>
  </si>
  <si>
    <t># Grocery &amp; Consumer Stores</t>
  </si>
  <si>
    <t>#WMT</t>
  </si>
  <si>
    <t># KR</t>
  </si>
  <si>
    <t># HD</t>
  </si>
  <si>
    <t># TJX</t>
  </si>
  <si>
    <t># CLX</t>
  </si>
  <si>
    <t># Consumer Staples</t>
  </si>
  <si>
    <t># PG</t>
  </si>
  <si>
    <t># JNJ</t>
  </si>
  <si>
    <t># UPS</t>
  </si>
  <si>
    <t># Technology</t>
  </si>
  <si>
    <t>#CRM</t>
  </si>
  <si>
    <t># CMCSA</t>
  </si>
  <si>
    <t># Miscellaneous</t>
  </si>
  <si>
    <t># TVIX</t>
  </si>
  <si>
    <t># UVXY</t>
  </si>
  <si>
    <t># EPD</t>
  </si>
  <si>
    <t># HFC</t>
  </si>
  <si>
    <t>#GE</t>
  </si>
  <si>
    <t># Energy related</t>
  </si>
  <si>
    <t># WBA</t>
  </si>
  <si>
    <t># VLO</t>
  </si>
  <si>
    <t># PSX</t>
  </si>
  <si>
    <t># SU</t>
  </si>
  <si>
    <t># DUK</t>
  </si>
  <si>
    <t>XLFS</t>
  </si>
  <si>
    <t>DOW</t>
  </si>
  <si>
    <t>GOOGL</t>
  </si>
  <si>
    <t>DVY</t>
  </si>
  <si>
    <t>VIG</t>
  </si>
  <si>
    <t>SCHD</t>
  </si>
  <si>
    <t>SDY</t>
  </si>
  <si>
    <t>DGRO</t>
  </si>
  <si>
    <t>EFA</t>
  </si>
  <si>
    <t>FM</t>
  </si>
  <si>
    <t>MSCI</t>
  </si>
  <si>
    <t>YINN</t>
  </si>
  <si>
    <t>YANG</t>
  </si>
  <si>
    <t>FXI</t>
  </si>
  <si>
    <t>GS</t>
  </si>
  <si>
    <t># VISA and Master Card</t>
  </si>
  <si>
    <t># Airlines</t>
  </si>
  <si>
    <t xml:space="preserve">TLT  </t>
  </si>
  <si>
    <t>HYG</t>
  </si>
  <si>
    <t># Dollar Index, EURO ETF &amp; Gold ETF</t>
  </si>
  <si>
    <t>FXE</t>
  </si>
  <si>
    <t>TJX</t>
  </si>
  <si>
    <t>NKE</t>
  </si>
  <si>
    <t>CLX</t>
  </si>
  <si>
    <t>LB</t>
  </si>
  <si>
    <t>BBBY</t>
  </si>
  <si>
    <t>PG</t>
  </si>
  <si>
    <t>JNJ</t>
  </si>
  <si>
    <t>UPS</t>
  </si>
  <si>
    <t>CMCSA</t>
  </si>
  <si>
    <t>TVIX</t>
  </si>
  <si>
    <t>UVXY</t>
  </si>
  <si>
    <t>EPD</t>
  </si>
  <si>
    <t>HFC</t>
  </si>
  <si>
    <t>GE</t>
  </si>
  <si>
    <t>WBA</t>
  </si>
  <si>
    <t>VLO</t>
  </si>
  <si>
    <t>PSX</t>
  </si>
  <si>
    <t>SU</t>
  </si>
  <si>
    <t>DUK</t>
  </si>
  <si>
    <t># 3D Printer Technology Companies</t>
  </si>
  <si>
    <t>SSYS</t>
  </si>
  <si>
    <t># These 2 recommended by Motley Fools</t>
  </si>
  <si>
    <t>OLED</t>
  </si>
  <si>
    <t>IPGP</t>
  </si>
  <si>
    <t>SLV</t>
  </si>
  <si>
    <t>NOBL</t>
  </si>
  <si>
    <t>DAX</t>
  </si>
  <si>
    <t>Category</t>
  </si>
  <si>
    <t>Index</t>
  </si>
  <si>
    <t>Tech</t>
  </si>
  <si>
    <t>Retail</t>
  </si>
  <si>
    <t>Car</t>
  </si>
  <si>
    <t>Restaurant</t>
  </si>
  <si>
    <t>Coffee</t>
  </si>
  <si>
    <t>Social Media</t>
  </si>
  <si>
    <t>Liquidity</t>
  </si>
  <si>
    <t>low</t>
  </si>
  <si>
    <t>Very High</t>
  </si>
  <si>
    <t>Commodity</t>
  </si>
  <si>
    <t>Gold</t>
  </si>
  <si>
    <t>Medium</t>
  </si>
  <si>
    <t>Grocery</t>
  </si>
  <si>
    <t>Brick &amp; Mortal Store</t>
  </si>
  <si>
    <t>Airline</t>
  </si>
  <si>
    <t>Oil</t>
  </si>
  <si>
    <t>Russel 2000</t>
  </si>
  <si>
    <t>NASDAQ</t>
  </si>
  <si>
    <t>Dow Jones 30</t>
  </si>
  <si>
    <t>VIX</t>
  </si>
  <si>
    <t>CyberSecurity</t>
  </si>
  <si>
    <t>Wearables</t>
  </si>
  <si>
    <t>S&amp;P500 Sector</t>
  </si>
  <si>
    <t>Energy</t>
  </si>
  <si>
    <t>Utility</t>
  </si>
  <si>
    <t>Financials</t>
  </si>
  <si>
    <t>Financial Services</t>
  </si>
  <si>
    <t>Industrial</t>
  </si>
  <si>
    <t>Pharmaceutical</t>
  </si>
  <si>
    <t>Consumer Staples</t>
  </si>
  <si>
    <t>Material</t>
  </si>
  <si>
    <t>Metals &amp; Minerals</t>
  </si>
  <si>
    <t>Telecom</t>
  </si>
  <si>
    <t>Dividend</t>
  </si>
  <si>
    <t>High</t>
  </si>
  <si>
    <t>MOMO</t>
  </si>
  <si>
    <t>CONE</t>
  </si>
  <si>
    <t>ULTA</t>
  </si>
  <si>
    <t>ANF</t>
  </si>
  <si>
    <t>http://www.streetinsider.com/ec_earnings.php?q=AAPL</t>
  </si>
  <si>
    <t>Earnings Performance</t>
  </si>
  <si>
    <t>NOW</t>
  </si>
  <si>
    <t>COST</t>
  </si>
  <si>
    <t>RH</t>
  </si>
  <si>
    <t>HRB</t>
  </si>
  <si>
    <t>PFPT</t>
  </si>
  <si>
    <t>DISH</t>
  </si>
  <si>
    <t>PLAY</t>
  </si>
  <si>
    <t>ANET</t>
  </si>
  <si>
    <t>WYNN</t>
  </si>
  <si>
    <t>TWX</t>
  </si>
  <si>
    <t>TXN</t>
  </si>
  <si>
    <t>PFE</t>
  </si>
  <si>
    <t>MRK</t>
  </si>
  <si>
    <t>SFM</t>
  </si>
  <si>
    <t>Tax Rate Model</t>
  </si>
  <si>
    <t>Stock Annualized Implied Volatility (IV%)</t>
  </si>
  <si>
    <t>Expected Move (+/-)</t>
  </si>
  <si>
    <t>1 Sigma Margin (%)</t>
  </si>
  <si>
    <t>Normal CDF(d1) with mean=0, std=1. N(d1)-0.5 ~ d1/sqrt(2*pi) when option is ATM</t>
  </si>
  <si>
    <t>ex-date</t>
  </si>
  <si>
    <t>div T, VZ, TWX</t>
  </si>
  <si>
    <t>http://www.nasdaq.com/symbol/cost/dividend-history</t>
  </si>
  <si>
    <t>Puts</t>
  </si>
  <si>
    <t>Calls</t>
  </si>
  <si>
    <t>EBAY</t>
  </si>
  <si>
    <t>POP</t>
  </si>
  <si>
    <t>Margin%</t>
  </si>
  <si>
    <t>1 Sigma %</t>
  </si>
  <si>
    <t>Implied Volatility</t>
  </si>
  <si>
    <t>Margin</t>
  </si>
  <si>
    <t>ln(S0/X)/(sigma*sqrt(t)) = ln(1+ATMDistance(%))/u ~ Margin(%)/(sigma*sqrt(t))</t>
  </si>
  <si>
    <t>IV*sqrt(t) = u</t>
  </si>
  <si>
    <t>% Below the Current Price or ATMDistance(%)</t>
  </si>
  <si>
    <t>Probability of Profit=CDF(Margin(%)/1 Sigma(%)) ~ Call Delta</t>
  </si>
  <si>
    <t>Probability of Profit (POP) = Call delta</t>
  </si>
  <si>
    <t>COF</t>
  </si>
  <si>
    <t>CHTR</t>
  </si>
  <si>
    <t>VLKAY</t>
  </si>
  <si>
    <t>vol</t>
  </si>
  <si>
    <t>open int</t>
  </si>
  <si>
    <t>AA</t>
  </si>
  <si>
    <t>GM</t>
  </si>
  <si>
    <t>MCD</t>
  </si>
  <si>
    <t>total</t>
  </si>
  <si>
    <t>dPrice</t>
  </si>
  <si>
    <t>MMM</t>
  </si>
  <si>
    <t>HON</t>
  </si>
  <si>
    <t>DD</t>
  </si>
  <si>
    <t>UTX</t>
  </si>
  <si>
    <t>AMGN</t>
  </si>
  <si>
    <t>BA</t>
  </si>
  <si>
    <t>TMUS</t>
  </si>
  <si>
    <t>div CSCO</t>
  </si>
  <si>
    <t>BIDU</t>
  </si>
  <si>
    <t>CBS</t>
  </si>
  <si>
    <t>UNH</t>
  </si>
  <si>
    <t>CROWD</t>
  </si>
  <si>
    <t>OUTCOME</t>
  </si>
  <si>
    <t>Expected Move UP (85%)</t>
  </si>
  <si>
    <t>Expected Move DOWN (85%)</t>
  </si>
  <si>
    <t>Probability of Going ABOVE Strike</t>
  </si>
  <si>
    <t>Probability of Going BELOW Strike</t>
  </si>
  <si>
    <t>Probability of Profit (POP) = 1 - Call delta</t>
  </si>
  <si>
    <t>JD</t>
  </si>
  <si>
    <t>looks like this link not working anymore</t>
  </si>
  <si>
    <t>BZUN</t>
  </si>
  <si>
    <t>VEEV</t>
  </si>
  <si>
    <t>CHKP</t>
  </si>
  <si>
    <t>MO</t>
  </si>
  <si>
    <t>YUMC</t>
  </si>
  <si>
    <t>WPX</t>
  </si>
  <si>
    <t>Estimated Next Earnings Date</t>
  </si>
  <si>
    <t>BRK-B</t>
  </si>
  <si>
    <t>Security</t>
  </si>
  <si>
    <t>IBB</t>
  </si>
  <si>
    <t>ETF</t>
  </si>
  <si>
    <t>Chineese</t>
  </si>
  <si>
    <t>TV</t>
  </si>
  <si>
    <t>video games entertainment</t>
  </si>
  <si>
    <t>AMD</t>
  </si>
  <si>
    <t>Banks</t>
  </si>
  <si>
    <t>Financial</t>
  </si>
  <si>
    <t>FDX</t>
  </si>
  <si>
    <t>Shipping</t>
  </si>
  <si>
    <t>EXPD</t>
  </si>
  <si>
    <t>Travel</t>
  </si>
  <si>
    <t>Texas Instruments</t>
  </si>
  <si>
    <t>ACM</t>
  </si>
  <si>
    <t>Honeywell (IoT)</t>
  </si>
  <si>
    <t>Chemical</t>
  </si>
  <si>
    <t>Technology</t>
  </si>
  <si>
    <t>ORCL</t>
  </si>
  <si>
    <t>Healthcare</t>
  </si>
  <si>
    <t>Socialmedia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</si>
</sst>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8" formatCode="&quot;$&quot;#,##0.00_);[Red]\(&quot;$&quot;#,##0.00\)"/>
    <numFmt numFmtId="164" formatCode="&quot;$&quot;#,##0"/>
    <numFmt numFmtId="165" formatCode="&quot;$&quot;#,##0.00"/>
    <numFmt numFmtId="166" formatCode="#,##0.0000"/>
    <numFmt numFmtId="167" formatCode="0.0000"/>
    <numFmt numFmtId="168" formatCode="0.0%"/>
    <numFmt numFmtId="169" formatCode="&quot;$&quot;#,##0.0"/>
    <numFmt numFmtId="170" formatCode="0.0"/>
    <numFmt numFmtId="171" formatCode="0.0000000000000000"/>
    <numFmt numFmtId="172" formatCode="0.000"/>
    <numFmt numFmtId="173" formatCode="0.00000"/>
    <numFmt numFmtId="174" formatCode="[$-F800]dddd\,\ mmmm\ dd\,\ yyyy"/>
    <numFmt numFmtId="175" formatCode="0.0000000000000000%"/>
  </numFmts>
  <fonts count="11" x14ac:knownFonts="1">
    <font>
      <sz val="11"/>
      <color theme="1"/>
      <name val="Calibri"/>
      <family val="2"/>
      <scheme val="minor"/>
    </font>
    <font>
      <b/>
      <sz val="14"/>
      <color theme="1"/>
      <name val="Calibri"/>
      <family val="2"/>
      <scheme val="minor"/>
    </font>
    <font>
      <sz val="9"/>
      <color indexed="81"/>
      <name val="Tahoma"/>
      <family val="2"/>
    </font>
    <font>
      <b/>
      <sz val="9"/>
      <color indexed="81"/>
      <name val="Tahoma"/>
      <family val="2"/>
    </font>
    <font>
      <u/>
      <sz val="11"/>
      <color theme="10"/>
      <name val="Calibri"/>
      <family val="2"/>
      <scheme val="minor"/>
    </font>
    <font>
      <u/>
      <sz val="10"/>
      <color indexed="12"/>
      <name val="Arial"/>
      <family val="2"/>
    </font>
    <font>
      <sz val="10"/>
      <name val="Arial"/>
      <family val="2"/>
    </font>
    <font>
      <b/>
      <sz val="10"/>
      <color indexed="9"/>
      <name val="Arial"/>
      <family val="2"/>
    </font>
    <font>
      <b/>
      <sz val="12"/>
      <name val="Arial"/>
      <family val="2"/>
    </font>
    <font>
      <b/>
      <sz val="10"/>
      <name val="Arial"/>
      <family val="2"/>
    </font>
    <font>
      <sz val="8"/>
      <name val="Arial"/>
      <family val="2"/>
    </font>
  </fonts>
  <fills count="4">
    <fill>
      <patternFill patternType="none"/>
    </fill>
    <fill>
      <patternFill patternType="gray125"/>
    </fill>
    <fill>
      <patternFill patternType="solid">
        <fgColor theme="0"/>
        <bgColor indexed="64"/>
      </patternFill>
    </fill>
    <fill>
      <patternFill patternType="solid">
        <fgColor rgb="FFFF0000"/>
        <bgColor indexed="64"/>
      </patternFill>
    </fill>
  </fills>
  <borders count="8">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4">
    <xf numFmtId="0" fontId="0" fillId="0" borderId="0"/>
    <xf numFmtId="0" fontId="4" fillId="0" borderId="0" applyNumberFormat="0" applyFill="0" applyBorder="0" applyAlignment="0" applyProtection="0"/>
    <xf numFmtId="0" fontId="5" fillId="0" borderId="0" applyNumberFormat="0" applyFill="0" applyBorder="0" applyAlignment="0" applyProtection="0">
      <alignment vertical="top"/>
      <protection locked="0"/>
    </xf>
    <xf numFmtId="0" fontId="6" fillId="0" borderId="0"/>
  </cellStyleXfs>
  <cellXfs count="299">
    <xf numFmtId="0" fontId="0" fillId="0" borderId="0" xfId="0"/>
    <xf numFmtId="0" fontId="1" fillId="0" borderId="0" xfId="0" applyFont="1"/>
    <xf numFmtId="0" fontId="0" fillId="0" borderId="0" xfId="0" applyAlignment="1">
      <alignment horizontal="center"/>
    </xf>
    <xf numFmtId="165" fontId="0" fillId="0" borderId="0" xfId="0" applyNumberFormat="1" applyAlignment="1">
      <alignment horizontal="center"/>
    </xf>
    <xf numFmtId="0" fontId="4" fillId="0" borderId="0" xfId="1"/>
    <xf numFmtId="2" fontId="0" fillId="0" borderId="0" xfId="0" applyNumberFormat="1" applyAlignment="1">
      <alignment horizontal="center"/>
    </xf>
    <xf numFmtId="0" fontId="0" fillId="0" borderId="0" xfId="0" applyNumberFormat="1" applyAlignment="1">
      <alignment horizontal="center"/>
    </xf>
    <xf numFmtId="164" fontId="0" fillId="0" borderId="0" xfId="0" applyNumberFormat="1" applyAlignment="1">
      <alignment horizontal="center"/>
    </xf>
    <xf numFmtId="10" fontId="0" fillId="0" borderId="0" xfId="0" applyNumberFormat="1" applyAlignment="1">
      <alignment horizontal="center"/>
    </xf>
    <xf numFmtId="8" fontId="0" fillId="0" borderId="0" xfId="0" applyNumberFormat="1"/>
    <xf numFmtId="0" fontId="6" fillId="0" borderId="0" xfId="3" applyAlignment="1">
      <alignment horizontal="right"/>
    </xf>
    <xf numFmtId="0" fontId="6" fillId="0" borderId="0" xfId="3"/>
    <xf numFmtId="0" fontId="6" fillId="0" borderId="0" xfId="3" applyFont="1"/>
    <xf numFmtId="0" fontId="6" fillId="0" borderId="0" xfId="3" applyFont="1" applyAlignment="1">
      <alignment horizontal="right"/>
    </xf>
    <xf numFmtId="0" fontId="9" fillId="0" borderId="0" xfId="3" applyFont="1"/>
    <xf numFmtId="10" fontId="6" fillId="0" borderId="0" xfId="3" applyNumberFormat="1"/>
    <xf numFmtId="9" fontId="6" fillId="0" borderId="0" xfId="3" applyNumberFormat="1"/>
    <xf numFmtId="0" fontId="7" fillId="2" borderId="0" xfId="3" applyFont="1" applyFill="1" applyBorder="1" applyAlignment="1">
      <alignment horizontal="right"/>
    </xf>
    <xf numFmtId="0" fontId="7" fillId="2" borderId="0" xfId="3" applyFont="1" applyFill="1" applyBorder="1"/>
    <xf numFmtId="0" fontId="6" fillId="2" borderId="0" xfId="3" applyFill="1" applyBorder="1" applyAlignment="1">
      <alignment horizontal="right"/>
    </xf>
    <xf numFmtId="166" fontId="6" fillId="2" borderId="0" xfId="3" applyNumberFormat="1" applyFill="1" applyBorder="1"/>
    <xf numFmtId="167" fontId="6" fillId="0" borderId="0" xfId="3" applyNumberFormat="1"/>
    <xf numFmtId="0" fontId="6" fillId="0" borderId="0" xfId="3" applyAlignment="1">
      <alignment horizontal="center"/>
    </xf>
    <xf numFmtId="0" fontId="6" fillId="0" borderId="0" xfId="3" applyFont="1" applyAlignment="1">
      <alignment horizontal="left"/>
    </xf>
    <xf numFmtId="167" fontId="6" fillId="0" borderId="0" xfId="3" applyNumberFormat="1" applyAlignment="1">
      <alignment horizontal="center"/>
    </xf>
    <xf numFmtId="15" fontId="0" fillId="0" borderId="0" xfId="0" applyNumberFormat="1"/>
    <xf numFmtId="9" fontId="0" fillId="0" borderId="0" xfId="0" applyNumberFormat="1"/>
    <xf numFmtId="2" fontId="0" fillId="0" borderId="0" xfId="0" applyNumberFormat="1"/>
    <xf numFmtId="10" fontId="0" fillId="0" borderId="0" xfId="0" applyNumberFormat="1"/>
    <xf numFmtId="165" fontId="0" fillId="0" borderId="0" xfId="0" applyNumberFormat="1"/>
    <xf numFmtId="4" fontId="0" fillId="0" borderId="0" xfId="0" applyNumberFormat="1"/>
    <xf numFmtId="16" fontId="0" fillId="0" borderId="0" xfId="0" applyNumberFormat="1"/>
    <xf numFmtId="0" fontId="0" fillId="0" borderId="0" xfId="0" applyAlignment="1"/>
    <xf numFmtId="0" fontId="0" fillId="0" borderId="0" xfId="0" applyAlignment="1"/>
    <xf numFmtId="165" fontId="1" fillId="0" borderId="0" xfId="0" applyNumberFormat="1" applyFont="1"/>
    <xf numFmtId="0" fontId="0" fillId="0" borderId="0" xfId="0" applyAlignment="1">
      <alignment horizontal="right"/>
    </xf>
    <xf numFmtId="9" fontId="0" fillId="0" borderId="0" xfId="0" applyNumberFormat="1" applyAlignment="1">
      <alignment horizontal="center"/>
    </xf>
    <xf numFmtId="0" fontId="1" fillId="0" borderId="4" xfId="0" applyFont="1" applyBorder="1" applyAlignment="1">
      <alignment horizontal="center"/>
    </xf>
    <xf numFmtId="0" fontId="0" fillId="0" borderId="4" xfId="0" applyBorder="1" applyAlignment="1">
      <alignment horizontal="center"/>
    </xf>
    <xf numFmtId="0" fontId="0" fillId="0" borderId="4" xfId="0" applyBorder="1" applyAlignment="1">
      <alignment horizontal="right"/>
    </xf>
    <xf numFmtId="165" fontId="0" fillId="0" borderId="4" xfId="0" applyNumberFormat="1" applyBorder="1" applyAlignment="1">
      <alignment horizontal="center"/>
    </xf>
    <xf numFmtId="9" fontId="0" fillId="0" borderId="4" xfId="0" applyNumberFormat="1" applyBorder="1" applyAlignment="1">
      <alignment horizontal="center"/>
    </xf>
    <xf numFmtId="9" fontId="1" fillId="0" borderId="0" xfId="0" applyNumberFormat="1" applyFont="1" applyAlignment="1">
      <alignment horizontal="center"/>
    </xf>
    <xf numFmtId="168" fontId="1" fillId="0" borderId="0" xfId="0" applyNumberFormat="1" applyFont="1" applyAlignment="1">
      <alignment horizontal="center"/>
    </xf>
    <xf numFmtId="165" fontId="1" fillId="0" borderId="0" xfId="0" applyNumberFormat="1" applyFont="1" applyAlignment="1">
      <alignment horizontal="center" vertical="center"/>
    </xf>
    <xf numFmtId="169" fontId="0" fillId="0" borderId="0" xfId="0" applyNumberFormat="1"/>
    <xf numFmtId="169" fontId="0" fillId="0" borderId="0" xfId="0" applyNumberFormat="1" applyAlignment="1">
      <alignment horizontal="center"/>
    </xf>
    <xf numFmtId="0" fontId="0" fillId="0" borderId="0" xfId="0" applyAlignment="1">
      <alignment horizontal="center" vertical="center"/>
    </xf>
    <xf numFmtId="164" fontId="0" fillId="0" borderId="0" xfId="0" applyNumberFormat="1" applyAlignment="1">
      <alignment horizontal="center" vertical="center"/>
    </xf>
    <xf numFmtId="168" fontId="0" fillId="0" borderId="0" xfId="0" applyNumberFormat="1" applyAlignment="1">
      <alignment horizontal="center"/>
    </xf>
    <xf numFmtId="0" fontId="1" fillId="0" borderId="4" xfId="0" applyFont="1" applyBorder="1" applyAlignment="1">
      <alignment horizontal="center" vertical="center"/>
    </xf>
    <xf numFmtId="0" fontId="0" fillId="0" borderId="4" xfId="0" applyBorder="1"/>
    <xf numFmtId="0" fontId="0" fillId="0" borderId="4" xfId="0" applyBorder="1" applyAlignment="1">
      <alignment horizontal="left" vertical="center"/>
    </xf>
    <xf numFmtId="168" fontId="0" fillId="0" borderId="4" xfId="0" applyNumberFormat="1" applyBorder="1" applyAlignment="1">
      <alignment horizontal="center"/>
    </xf>
    <xf numFmtId="164" fontId="0" fillId="0" borderId="4" xfId="0" applyNumberFormat="1" applyBorder="1" applyAlignment="1">
      <alignment horizontal="center"/>
    </xf>
    <xf numFmtId="0" fontId="0" fillId="0" borderId="2" xfId="0" applyFill="1" applyBorder="1"/>
    <xf numFmtId="164" fontId="0" fillId="0" borderId="4" xfId="0" applyNumberFormat="1" applyBorder="1" applyAlignment="1">
      <alignment horizontal="center" vertical="center"/>
    </xf>
    <xf numFmtId="0" fontId="0" fillId="0" borderId="4" xfId="0" applyFill="1" applyBorder="1" applyAlignment="1">
      <alignment horizontal="center" vertical="center"/>
    </xf>
    <xf numFmtId="168" fontId="0" fillId="0" borderId="4" xfId="0" applyNumberFormat="1" applyFill="1" applyBorder="1" applyAlignment="1">
      <alignment horizontal="center" vertical="center"/>
    </xf>
    <xf numFmtId="0" fontId="0" fillId="0" borderId="4" xfId="0" applyBorder="1" applyAlignment="1">
      <alignment horizontal="center" vertical="center"/>
    </xf>
    <xf numFmtId="168" fontId="0" fillId="0" borderId="4" xfId="0" applyNumberFormat="1" applyBorder="1" applyAlignment="1">
      <alignment horizontal="center" vertical="center"/>
    </xf>
    <xf numFmtId="169" fontId="0" fillId="0" borderId="4" xfId="0" applyNumberFormat="1" applyBorder="1" applyAlignment="1">
      <alignment horizontal="center" vertical="center"/>
    </xf>
    <xf numFmtId="168" fontId="0" fillId="0" borderId="0" xfId="0" applyNumberFormat="1" applyAlignment="1">
      <alignment horizontal="center" vertical="center"/>
    </xf>
    <xf numFmtId="0" fontId="0" fillId="0" borderId="4" xfId="0" applyFill="1" applyBorder="1"/>
    <xf numFmtId="0" fontId="0" fillId="0" borderId="1" xfId="0" applyFill="1" applyBorder="1"/>
    <xf numFmtId="0" fontId="0" fillId="0" borderId="3" xfId="0" applyFill="1" applyBorder="1"/>
    <xf numFmtId="0" fontId="0" fillId="0" borderId="4" xfId="0" applyBorder="1" applyAlignment="1">
      <alignment horizontal="left"/>
    </xf>
    <xf numFmtId="14" fontId="0" fillId="0" borderId="0" xfId="0" applyNumberFormat="1"/>
    <xf numFmtId="2" fontId="6" fillId="0" borderId="0" xfId="3" applyNumberFormat="1"/>
    <xf numFmtId="0" fontId="0" fillId="0" borderId="0" xfId="0" applyAlignment="1"/>
    <xf numFmtId="0" fontId="0" fillId="0" borderId="0" xfId="0" applyNumberFormat="1"/>
    <xf numFmtId="170" fontId="0" fillId="0" borderId="0" xfId="0" applyNumberFormat="1" applyAlignment="1">
      <alignment horizontal="center"/>
    </xf>
    <xf numFmtId="15" fontId="0" fillId="0" borderId="0" xfId="0" applyNumberFormat="1" applyAlignment="1">
      <alignment horizontal="center"/>
    </xf>
    <xf numFmtId="10" fontId="6" fillId="0" borderId="0" xfId="3" applyNumberFormat="1" applyAlignment="1">
      <alignment horizontal="center"/>
    </xf>
    <xf numFmtId="4" fontId="0" fillId="0" borderId="0" xfId="0" applyNumberFormat="1" applyAlignment="1">
      <alignment horizontal="center"/>
    </xf>
    <xf numFmtId="168" fontId="0" fillId="0" borderId="0" xfId="0" applyNumberFormat="1"/>
    <xf numFmtId="0" fontId="6" fillId="0" borderId="0" xfId="3" applyAlignment="1">
      <alignment horizontal="center"/>
    </xf>
    <xf numFmtId="171" fontId="6" fillId="0" borderId="0" xfId="3" applyNumberFormat="1"/>
    <xf numFmtId="1" fontId="0" fillId="0" borderId="0" xfId="0" applyNumberFormat="1" applyAlignment="1">
      <alignment horizontal="center"/>
    </xf>
    <xf numFmtId="172" fontId="0" fillId="0" borderId="0" xfId="0" applyNumberFormat="1"/>
    <xf numFmtId="172" fontId="0" fillId="0" borderId="0" xfId="0" applyNumberFormat="1" applyAlignment="1">
      <alignment horizontal="center"/>
    </xf>
    <xf numFmtId="0" fontId="0" fillId="0" borderId="0" xfId="0" applyAlignment="1">
      <alignment horizontal="center"/>
    </xf>
    <xf numFmtId="0" fontId="0" fillId="0" borderId="0" xfId="0" applyAlignment="1">
      <alignment horizontal="center"/>
    </xf>
    <xf numFmtId="167" fontId="0" fillId="0" borderId="0" xfId="0" applyNumberFormat="1" applyAlignment="1">
      <alignment horizontal="center"/>
    </xf>
    <xf numFmtId="173" fontId="0" fillId="0" borderId="0" xfId="0" applyNumberFormat="1" applyAlignment="1">
      <alignment horizontal="center"/>
    </xf>
    <xf numFmtId="10" fontId="10" fillId="0" borderId="0" xfId="3" applyNumberFormat="1" applyFont="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3" fontId="0" fillId="0" borderId="0" xfId="0" applyNumberFormat="1"/>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1" fillId="0" borderId="0" xfId="0" applyFont="1" applyBorder="1"/>
    <xf numFmtId="0" fontId="0" fillId="0" borderId="0" xfId="0" applyBorder="1"/>
    <xf numFmtId="0" fontId="0" fillId="0" borderId="0" xfId="0" applyBorder="1" applyAlignment="1">
      <alignment horizontal="center"/>
    </xf>
    <xf numFmtId="165" fontId="0" fillId="0" borderId="0" xfId="0" applyNumberFormat="1" applyBorder="1" applyAlignment="1">
      <alignment horizontal="center"/>
    </xf>
    <xf numFmtId="0" fontId="0" fillId="0" borderId="0" xfId="0" applyNumberFormat="1" applyBorder="1" applyAlignment="1">
      <alignment horizontal="center"/>
    </xf>
    <xf numFmtId="10" fontId="0" fillId="0" borderId="0" xfId="0" applyNumberFormat="1" applyBorder="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14" fontId="6" fillId="0" borderId="0" xfId="3" applyNumberFormat="1"/>
    <xf numFmtId="0" fontId="6" fillId="0" borderId="0" xfId="3" applyNumberFormat="1"/>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8" fontId="0" fillId="0" borderId="0" xfId="0" applyNumberFormat="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3" fontId="0" fillId="0" borderId="0" xfId="0" applyNumberFormat="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1" fillId="0" borderId="0" xfId="0" applyFont="1" applyAlignment="1">
      <alignment horizontal="center"/>
    </xf>
    <xf numFmtId="0" fontId="0" fillId="0" borderId="0" xfId="0" applyAlignment="1">
      <alignment horizontal="center"/>
    </xf>
    <xf numFmtId="174" fontId="0" fillId="0" borderId="0" xfId="0" applyNumberFormat="1" applyAlignment="1">
      <alignment horizontal="left"/>
    </xf>
    <xf numFmtId="174" fontId="1" fillId="0" borderId="0" xfId="0" applyNumberFormat="1" applyFont="1" applyAlignment="1">
      <alignment horizontal="center"/>
    </xf>
    <xf numFmtId="0" fontId="1" fillId="0" borderId="0" xfId="0" applyNumberFormat="1" applyFont="1" applyAlignment="1">
      <alignment horizontal="center"/>
    </xf>
    <xf numFmtId="0" fontId="0" fillId="3" borderId="0" xfId="0" applyFill="1"/>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8" fontId="0" fillId="0" borderId="0" xfId="0" applyNumberFormat="1" applyAlignment="1">
      <alignment horizontal="left" vertical="center" indent="1"/>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174" fontId="0" fillId="0" borderId="0" xfId="0" applyNumberFormat="1"/>
    <xf numFmtId="0" fontId="1" fillId="0" borderId="0" xfId="0" applyFont="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left"/>
    </xf>
    <xf numFmtId="4" fontId="0" fillId="0" borderId="0" xfId="0" applyNumberFormat="1" applyAlignment="1">
      <alignment horizontal="left"/>
    </xf>
    <xf numFmtId="0" fontId="0" fillId="0" borderId="0" xfId="0" applyAlignment="1">
      <alignment horizontal="center"/>
    </xf>
    <xf numFmtId="0" fontId="0" fillId="0" borderId="0" xfId="0" applyAlignment="1">
      <alignment horizontal="center"/>
    </xf>
    <xf numFmtId="0" fontId="0" fillId="2" borderId="0" xfId="0" applyFill="1"/>
    <xf numFmtId="0" fontId="0" fillId="0" borderId="0" xfId="0" applyAlignment="1">
      <alignment horizontal="center"/>
    </xf>
    <xf numFmtId="175" fontId="0" fillId="0" borderId="0" xfId="0" applyNumberFormat="1"/>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10" fontId="0" fillId="0" borderId="0" xfId="0" applyNumberFormat="1" applyAlignment="1">
      <alignment horizontal="left"/>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4" fontId="0" fillId="0" borderId="0" xfId="0" applyNumberFormat="1" applyAlignment="1"/>
    <xf numFmtId="0" fontId="0" fillId="0" borderId="0" xfId="0" applyAlignment="1">
      <alignment horizontal="center"/>
    </xf>
    <xf numFmtId="174" fontId="4" fillId="0" borderId="0" xfId="1" applyNumberFormat="1" applyAlignment="1">
      <alignment horizontal="left"/>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14" fontId="0" fillId="0" borderId="0" xfId="0" applyNumberFormat="1" applyAlignment="1">
      <alignment horizontal="center"/>
    </xf>
    <xf numFmtId="0" fontId="1" fillId="0" borderId="0" xfId="0" applyFont="1" applyBorder="1" applyAlignment="1">
      <alignment horizontal="center" vertical="center" textRotation="90"/>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6" fillId="0" borderId="0" xfId="3" applyAlignment="1">
      <alignment horizontal="center"/>
    </xf>
    <xf numFmtId="0" fontId="0" fillId="0" borderId="0" xfId="0" applyAlignment="1">
      <alignment horizontal="center"/>
    </xf>
    <xf numFmtId="0" fontId="4" fillId="0" borderId="0" xfId="1" applyNumberFormat="1" applyAlignment="1">
      <alignment horizontal="left"/>
    </xf>
    <xf numFmtId="174" fontId="0" fillId="0" borderId="0" xfId="0" applyNumberFormat="1" applyAlignment="1">
      <alignment horizontal="center"/>
    </xf>
    <xf numFmtId="9" fontId="6" fillId="0" borderId="0" xfId="3" applyNumberFormat="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Border="1" applyAlignment="1"/>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1" fillId="0" borderId="0" xfId="0" applyNumberFormat="1" applyFont="1" applyAlignment="1">
      <alignment horizontal="left"/>
    </xf>
    <xf numFmtId="0" fontId="0" fillId="0" borderId="0" xfId="0" applyAlignment="1">
      <alignment horizontal="center"/>
    </xf>
    <xf numFmtId="0" fontId="0" fillId="0" borderId="0" xfId="0" applyAlignment="1">
      <alignment horizontal="center"/>
    </xf>
    <xf numFmtId="0" fontId="0" fillId="0" borderId="0" xfId="0" applyAlignment="1"/>
    <xf numFmtId="0" fontId="1" fillId="0" borderId="1" xfId="0" applyFont="1" applyBorder="1" applyAlignment="1">
      <alignment horizontal="center" vertical="center" textRotation="90"/>
    </xf>
    <xf numFmtId="0" fontId="1" fillId="0" borderId="2" xfId="0" applyFont="1" applyBorder="1" applyAlignment="1">
      <alignment horizontal="center" vertical="center" textRotation="90"/>
    </xf>
    <xf numFmtId="0" fontId="0" fillId="0" borderId="3" xfId="0" applyBorder="1" applyAlignment="1"/>
    <xf numFmtId="0" fontId="0" fillId="0" borderId="2" xfId="0" applyBorder="1" applyAlignment="1">
      <alignment horizontal="center" vertical="center" textRotation="90"/>
    </xf>
    <xf numFmtId="0" fontId="0" fillId="0" borderId="3" xfId="0" applyBorder="1" applyAlignment="1">
      <alignment horizontal="center" vertical="center" textRotation="90"/>
    </xf>
    <xf numFmtId="0" fontId="8" fillId="0" borderId="0" xfId="3" applyFont="1" applyAlignment="1">
      <alignment horizontal="center"/>
    </xf>
    <xf numFmtId="0" fontId="6" fillId="0" borderId="0" xfId="3" applyAlignment="1">
      <alignment horizontal="center"/>
    </xf>
    <xf numFmtId="0" fontId="1" fillId="0" borderId="3" xfId="0" applyFont="1" applyBorder="1" applyAlignment="1">
      <alignment horizontal="center" vertical="center" textRotation="90"/>
    </xf>
    <xf numFmtId="0" fontId="1" fillId="0" borderId="0" xfId="0" applyFont="1" applyAlignment="1">
      <alignment horizontal="center"/>
    </xf>
    <xf numFmtId="0" fontId="0" fillId="0" borderId="0" xfId="0"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1" fillId="0" borderId="5" xfId="0" applyFont="1" applyBorder="1" applyAlignment="1">
      <alignment horizontal="center" vertical="center"/>
    </xf>
    <xf numFmtId="0" fontId="0" fillId="0" borderId="6" xfId="0" applyBorder="1" applyAlignment="1">
      <alignment horizontal="center" vertical="center"/>
    </xf>
    <xf numFmtId="0" fontId="0" fillId="0" borderId="7" xfId="0" applyBorder="1" applyAlignment="1"/>
  </cellXfs>
  <cellStyles count="4">
    <cellStyle name="Hyperlink" xfId="1" builtinId="8"/>
    <cellStyle name="Hyperlink 2" xfId="2" xr:uid="{00000000-0005-0000-0000-000001000000}"/>
    <cellStyle name="Normal" xfId="0" builtinId="0"/>
    <cellStyle name="Normal 2"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activeX/activeX10.xml><?xml version="1.0" encoding="utf-8"?>
<ax:ocx xmlns:ax="http://schemas.microsoft.com/office/2006/activeX" xmlns:r="http://schemas.openxmlformats.org/officeDocument/2006/relationships" ax:classid="{5512D116-5CC6-11CF-8D67-00AA00BDCE1D}" ax:persistence="persistStream" r:id="rId1"/>
</file>

<file path=xl/activeX/activeX11.xml><?xml version="1.0" encoding="utf-8"?>
<ax:ocx xmlns:ax="http://schemas.microsoft.com/office/2006/activeX" xmlns:r="http://schemas.openxmlformats.org/officeDocument/2006/relationships" ax:classid="{5512D116-5CC6-11CF-8D67-00AA00BDCE1D}" ax:persistence="persistStream" r:id="rId1"/>
</file>

<file path=xl/activeX/activeX12.xml><?xml version="1.0" encoding="utf-8"?>
<ax:ocx xmlns:ax="http://schemas.microsoft.com/office/2006/activeX" xmlns:r="http://schemas.openxmlformats.org/officeDocument/2006/relationships" ax:classid="{5512D116-5CC6-11CF-8D67-00AA00BDCE1D}" ax:persistence="persistStream" r:id="rId1"/>
</file>

<file path=xl/activeX/activeX13.xml><?xml version="1.0" encoding="utf-8"?>
<ax:ocx xmlns:ax="http://schemas.microsoft.com/office/2006/activeX" xmlns:r="http://schemas.openxmlformats.org/officeDocument/2006/relationships" ax:classid="{5512D116-5CC6-11CF-8D67-00AA00BDCE1D}" ax:persistence="persistStream" r:id="rId1"/>
</file>

<file path=xl/activeX/activeX2.xml><?xml version="1.0" encoding="utf-8"?>
<ax:ocx xmlns:ax="http://schemas.microsoft.com/office/2006/activeX" xmlns:r="http://schemas.openxmlformats.org/officeDocument/2006/relationships" ax:classid="{5512D116-5CC6-11CF-8D67-00AA00BDCE1D}" ax:persistence="persistStream" r:id="rId1"/>
</file>

<file path=xl/activeX/activeX3.xml><?xml version="1.0" encoding="utf-8"?>
<ax:ocx xmlns:ax="http://schemas.microsoft.com/office/2006/activeX" xmlns:r="http://schemas.openxmlformats.org/officeDocument/2006/relationships" ax:classid="{5512D116-5CC6-11CF-8D67-00AA00BDCE1D}" ax:persistence="persistStream" r:id="rId1"/>
</file>

<file path=xl/activeX/activeX4.xml><?xml version="1.0" encoding="utf-8"?>
<ax:ocx xmlns:ax="http://schemas.microsoft.com/office/2006/activeX" xmlns:r="http://schemas.openxmlformats.org/officeDocument/2006/relationships" ax:classid="{5512D116-5CC6-11CF-8D67-00AA00BDCE1D}" ax:persistence="persistStream" r:id="rId1"/>
</file>

<file path=xl/activeX/activeX5.xml><?xml version="1.0" encoding="utf-8"?>
<ax:ocx xmlns:ax="http://schemas.microsoft.com/office/2006/activeX" xmlns:r="http://schemas.openxmlformats.org/officeDocument/2006/relationships" ax:classid="{5512D116-5CC6-11CF-8D67-00AA00BDCE1D}" ax:persistence="persistStream" r:id="rId1"/>
</file>

<file path=xl/activeX/activeX6.xml><?xml version="1.0" encoding="utf-8"?>
<ax:ocx xmlns:ax="http://schemas.microsoft.com/office/2006/activeX" xmlns:r="http://schemas.openxmlformats.org/officeDocument/2006/relationships" ax:classid="{5512D116-5CC6-11CF-8D67-00AA00BDCE1D}" ax:persistence="persistStream" r:id="rId1"/>
</file>

<file path=xl/activeX/activeX7.xml><?xml version="1.0" encoding="utf-8"?>
<ax:ocx xmlns:ax="http://schemas.microsoft.com/office/2006/activeX" xmlns:r="http://schemas.openxmlformats.org/officeDocument/2006/relationships" ax:classid="{5512D116-5CC6-11CF-8D67-00AA00BDCE1D}" ax:persistence="persistStream" r:id="rId1"/>
</file>

<file path=xl/activeX/activeX8.xml><?xml version="1.0" encoding="utf-8"?>
<ax:ocx xmlns:ax="http://schemas.microsoft.com/office/2006/activeX" xmlns:r="http://schemas.openxmlformats.org/officeDocument/2006/relationships" ax:classid="{5512D116-5CC6-11CF-8D67-00AA00BDCE1D}" ax:persistence="persistStream" r:id="rId1"/>
</file>

<file path=xl/activeX/activeX9.xml><?xml version="1.0" encoding="utf-8"?>
<ax:ocx xmlns:ax="http://schemas.microsoft.com/office/2006/activeX" xmlns:r="http://schemas.openxmlformats.org/officeDocument/2006/relationships" ax:classid="{5512D116-5CC6-11CF-8D67-00AA00BDCE1D}" ax:persistence="persistStream" r:id="rId1"/>
</file>

<file path=xl/charts/_rels/chart2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6.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dt(additional days)</a:t>
            </a:r>
          </a:p>
        </c:rich>
      </c:tx>
      <c:overlay val="0"/>
    </c:title>
    <c:autoTitleDeleted val="0"/>
    <c:plotArea>
      <c:layout>
        <c:manualLayout>
          <c:layoutTarget val="inner"/>
          <c:xMode val="edge"/>
          <c:yMode val="edge"/>
          <c:x val="0.10450871689819261"/>
          <c:y val="0.20406277340332457"/>
          <c:w val="0.6783108209034846"/>
          <c:h val="0.62951510165706903"/>
        </c:manualLayout>
      </c:layout>
      <c:scatterChart>
        <c:scatterStyle val="smoothMarker"/>
        <c:varyColors val="0"/>
        <c:ser>
          <c:idx val="0"/>
          <c:order val="0"/>
          <c:tx>
            <c:strRef>
              <c:f>OptionSwapData!$L$16</c:f>
              <c:strCache>
                <c:ptCount val="1"/>
                <c:pt idx="0">
                  <c:v>dt</c:v>
                </c:pt>
              </c:strCache>
            </c:strRef>
          </c:tx>
          <c:spPr>
            <a:ln>
              <a:noFill/>
            </a:ln>
          </c:spPr>
          <c:trendline>
            <c:trendlineType val="poly"/>
            <c:order val="2"/>
            <c:intercept val="0"/>
            <c:dispRSqr val="1"/>
            <c:dispEq val="1"/>
            <c:trendlineLbl>
              <c:layout>
                <c:manualLayout>
                  <c:x val="-0.27477843394575679"/>
                  <c:y val="0.11075204141149023"/>
                </c:manualLayout>
              </c:layout>
              <c:numFmt formatCode="General" sourceLinked="0"/>
            </c:trendlineLbl>
          </c:trendline>
          <c:xVal>
            <c:numRef>
              <c:f>OptionSwapData!$M$17:$M$800</c:f>
              <c:numCache>
                <c:formatCode>0%</c:formatCode>
                <c:ptCount val="182"/>
                <c:pt idx="0">
                  <c:v>0.01</c:v>
                </c:pt>
                <c:pt idx="1">
                  <c:v>0.02</c:v>
                </c:pt>
                <c:pt idx="2">
                  <c:v>0.03</c:v>
                </c:pt>
                <c:pt idx="3">
                  <c:v>0.04</c:v>
                </c:pt>
                <c:pt idx="4">
                  <c:v>0.05</c:v>
                </c:pt>
                <c:pt idx="5">
                  <c:v>0.06</c:v>
                </c:pt>
                <c:pt idx="6">
                  <c:v>7.0000000000000007E-2</c:v>
                </c:pt>
                <c:pt idx="7">
                  <c:v>0.08</c:v>
                </c:pt>
                <c:pt idx="8">
                  <c:v>0.09</c:v>
                </c:pt>
                <c:pt idx="9">
                  <c:v>0.1</c:v>
                </c:pt>
                <c:pt idx="10">
                  <c:v>0.15</c:v>
                </c:pt>
                <c:pt idx="11">
                  <c:v>0.2</c:v>
                </c:pt>
                <c:pt idx="12">
                  <c:v>0.25</c:v>
                </c:pt>
                <c:pt idx="13">
                  <c:v>0.01</c:v>
                </c:pt>
                <c:pt idx="14">
                  <c:v>0.02</c:v>
                </c:pt>
                <c:pt idx="15">
                  <c:v>0.03</c:v>
                </c:pt>
                <c:pt idx="16">
                  <c:v>0.04</c:v>
                </c:pt>
                <c:pt idx="17">
                  <c:v>0.05</c:v>
                </c:pt>
                <c:pt idx="18">
                  <c:v>0.06</c:v>
                </c:pt>
                <c:pt idx="19">
                  <c:v>7.0000000000000007E-2</c:v>
                </c:pt>
                <c:pt idx="20">
                  <c:v>0.08</c:v>
                </c:pt>
                <c:pt idx="21">
                  <c:v>0.09</c:v>
                </c:pt>
                <c:pt idx="22">
                  <c:v>0.1</c:v>
                </c:pt>
                <c:pt idx="23">
                  <c:v>0.15</c:v>
                </c:pt>
                <c:pt idx="24">
                  <c:v>0.2</c:v>
                </c:pt>
                <c:pt idx="25">
                  <c:v>0.25</c:v>
                </c:pt>
                <c:pt idx="26">
                  <c:v>0.01</c:v>
                </c:pt>
                <c:pt idx="27">
                  <c:v>0.02</c:v>
                </c:pt>
                <c:pt idx="28">
                  <c:v>0.03</c:v>
                </c:pt>
                <c:pt idx="29">
                  <c:v>0.04</c:v>
                </c:pt>
                <c:pt idx="30">
                  <c:v>0.05</c:v>
                </c:pt>
                <c:pt idx="31">
                  <c:v>0.06</c:v>
                </c:pt>
                <c:pt idx="32">
                  <c:v>7.0000000000000007E-2</c:v>
                </c:pt>
                <c:pt idx="33">
                  <c:v>0.08</c:v>
                </c:pt>
                <c:pt idx="34">
                  <c:v>0.09</c:v>
                </c:pt>
                <c:pt idx="35">
                  <c:v>0.1</c:v>
                </c:pt>
                <c:pt idx="36">
                  <c:v>0.15</c:v>
                </c:pt>
                <c:pt idx="37">
                  <c:v>0.2</c:v>
                </c:pt>
                <c:pt idx="38">
                  <c:v>0.25</c:v>
                </c:pt>
                <c:pt idx="39">
                  <c:v>0.01</c:v>
                </c:pt>
                <c:pt idx="40">
                  <c:v>0.02</c:v>
                </c:pt>
                <c:pt idx="41">
                  <c:v>0.03</c:v>
                </c:pt>
                <c:pt idx="42">
                  <c:v>0.04</c:v>
                </c:pt>
                <c:pt idx="43">
                  <c:v>0.05</c:v>
                </c:pt>
                <c:pt idx="44">
                  <c:v>0.06</c:v>
                </c:pt>
                <c:pt idx="45">
                  <c:v>7.0000000000000007E-2</c:v>
                </c:pt>
                <c:pt idx="46">
                  <c:v>0.08</c:v>
                </c:pt>
                <c:pt idx="47">
                  <c:v>0.09</c:v>
                </c:pt>
                <c:pt idx="48">
                  <c:v>0.1</c:v>
                </c:pt>
                <c:pt idx="49">
                  <c:v>0.15</c:v>
                </c:pt>
                <c:pt idx="50">
                  <c:v>0.2</c:v>
                </c:pt>
                <c:pt idx="51">
                  <c:v>0.25</c:v>
                </c:pt>
                <c:pt idx="52">
                  <c:v>0.01</c:v>
                </c:pt>
                <c:pt idx="53">
                  <c:v>0.02</c:v>
                </c:pt>
                <c:pt idx="54">
                  <c:v>0.03</c:v>
                </c:pt>
                <c:pt idx="55">
                  <c:v>0.04</c:v>
                </c:pt>
                <c:pt idx="56">
                  <c:v>0.05</c:v>
                </c:pt>
                <c:pt idx="57">
                  <c:v>0.06</c:v>
                </c:pt>
                <c:pt idx="58">
                  <c:v>7.0000000000000007E-2</c:v>
                </c:pt>
                <c:pt idx="59">
                  <c:v>0.08</c:v>
                </c:pt>
                <c:pt idx="60">
                  <c:v>0.09</c:v>
                </c:pt>
                <c:pt idx="61">
                  <c:v>0.1</c:v>
                </c:pt>
                <c:pt idx="62">
                  <c:v>0.15</c:v>
                </c:pt>
                <c:pt idx="63">
                  <c:v>0.2</c:v>
                </c:pt>
                <c:pt idx="64">
                  <c:v>0.25</c:v>
                </c:pt>
                <c:pt idx="65">
                  <c:v>0.01</c:v>
                </c:pt>
                <c:pt idx="66">
                  <c:v>0.02</c:v>
                </c:pt>
                <c:pt idx="67">
                  <c:v>0.03</c:v>
                </c:pt>
                <c:pt idx="68">
                  <c:v>0.04</c:v>
                </c:pt>
                <c:pt idx="69">
                  <c:v>0.05</c:v>
                </c:pt>
                <c:pt idx="70">
                  <c:v>0.06</c:v>
                </c:pt>
                <c:pt idx="71">
                  <c:v>7.0000000000000007E-2</c:v>
                </c:pt>
                <c:pt idx="72">
                  <c:v>0.08</c:v>
                </c:pt>
                <c:pt idx="73">
                  <c:v>0.09</c:v>
                </c:pt>
                <c:pt idx="74">
                  <c:v>0.1</c:v>
                </c:pt>
                <c:pt idx="75">
                  <c:v>0.15</c:v>
                </c:pt>
                <c:pt idx="76">
                  <c:v>0.2</c:v>
                </c:pt>
                <c:pt idx="77">
                  <c:v>0.25</c:v>
                </c:pt>
                <c:pt idx="78">
                  <c:v>0.04</c:v>
                </c:pt>
                <c:pt idx="79">
                  <c:v>0.06</c:v>
                </c:pt>
                <c:pt idx="80">
                  <c:v>0.08</c:v>
                </c:pt>
                <c:pt idx="81">
                  <c:v>0.10000000000000014</c:v>
                </c:pt>
              </c:numCache>
            </c:numRef>
          </c:xVal>
          <c:yVal>
            <c:numRef>
              <c:f>OptionSwapData!$L$17:$L$800</c:f>
              <c:numCache>
                <c:formatCode>General</c:formatCode>
                <c:ptCount val="182"/>
                <c:pt idx="0">
                  <c:v>5.3000000000000007</c:v>
                </c:pt>
                <c:pt idx="1">
                  <c:v>11.100000000000001</c:v>
                </c:pt>
                <c:pt idx="2">
                  <c:v>17.399999999999999</c:v>
                </c:pt>
                <c:pt idx="3">
                  <c:v>24</c:v>
                </c:pt>
                <c:pt idx="4">
                  <c:v>31</c:v>
                </c:pt>
                <c:pt idx="5">
                  <c:v>38.299999999999997</c:v>
                </c:pt>
                <c:pt idx="6">
                  <c:v>46</c:v>
                </c:pt>
                <c:pt idx="7">
                  <c:v>53.9</c:v>
                </c:pt>
                <c:pt idx="8">
                  <c:v>62.099999999999994</c:v>
                </c:pt>
                <c:pt idx="9">
                  <c:v>70.5</c:v>
                </c:pt>
                <c:pt idx="10">
                  <c:v>115.6</c:v>
                </c:pt>
                <c:pt idx="11">
                  <c:v>164.7</c:v>
                </c:pt>
                <c:pt idx="12">
                  <c:v>216.7</c:v>
                </c:pt>
                <c:pt idx="13">
                  <c:v>6.6999999999999993</c:v>
                </c:pt>
                <c:pt idx="14">
                  <c:v>13.8</c:v>
                </c:pt>
                <c:pt idx="15">
                  <c:v>21.4</c:v>
                </c:pt>
                <c:pt idx="16">
                  <c:v>29.4</c:v>
                </c:pt>
                <c:pt idx="17">
                  <c:v>37.799999999999997</c:v>
                </c:pt>
                <c:pt idx="18">
                  <c:v>46.6</c:v>
                </c:pt>
                <c:pt idx="19">
                  <c:v>55.7</c:v>
                </c:pt>
                <c:pt idx="20">
                  <c:v>65.099999999999994</c:v>
                </c:pt>
                <c:pt idx="21">
                  <c:v>74.8</c:v>
                </c:pt>
                <c:pt idx="22">
                  <c:v>84.7</c:v>
                </c:pt>
                <c:pt idx="23">
                  <c:v>137.5</c:v>
                </c:pt>
                <c:pt idx="24">
                  <c:v>194.5</c:v>
                </c:pt>
                <c:pt idx="25">
                  <c:v>254.5</c:v>
                </c:pt>
                <c:pt idx="26">
                  <c:v>8.4</c:v>
                </c:pt>
                <c:pt idx="27">
                  <c:v>17.2</c:v>
                </c:pt>
                <c:pt idx="28">
                  <c:v>26.4</c:v>
                </c:pt>
                <c:pt idx="29">
                  <c:v>36.1</c:v>
                </c:pt>
                <c:pt idx="30">
                  <c:v>46.2</c:v>
                </c:pt>
                <c:pt idx="31">
                  <c:v>56.6</c:v>
                </c:pt>
                <c:pt idx="32">
                  <c:v>67.400000000000006</c:v>
                </c:pt>
                <c:pt idx="33">
                  <c:v>78.5</c:v>
                </c:pt>
                <c:pt idx="34">
                  <c:v>89.8</c:v>
                </c:pt>
                <c:pt idx="35">
                  <c:v>101.4</c:v>
                </c:pt>
                <c:pt idx="36">
                  <c:v>162.80000000000001</c:v>
                </c:pt>
                <c:pt idx="37">
                  <c:v>228.4</c:v>
                </c:pt>
                <c:pt idx="38">
                  <c:v>296.89999999999998</c:v>
                </c:pt>
                <c:pt idx="39">
                  <c:v>10.8</c:v>
                </c:pt>
                <c:pt idx="40">
                  <c:v>21.5</c:v>
                </c:pt>
                <c:pt idx="41">
                  <c:v>32.700000000000003</c:v>
                </c:pt>
                <c:pt idx="42">
                  <c:v>44.2</c:v>
                </c:pt>
                <c:pt idx="43">
                  <c:v>56.1</c:v>
                </c:pt>
                <c:pt idx="44">
                  <c:v>68.400000000000006</c:v>
                </c:pt>
                <c:pt idx="45">
                  <c:v>81</c:v>
                </c:pt>
                <c:pt idx="46">
                  <c:v>94</c:v>
                </c:pt>
                <c:pt idx="47">
                  <c:v>107.2</c:v>
                </c:pt>
                <c:pt idx="48">
                  <c:v>120.6</c:v>
                </c:pt>
                <c:pt idx="49">
                  <c:v>191.2</c:v>
                </c:pt>
                <c:pt idx="50">
                  <c:v>265.89999999999998</c:v>
                </c:pt>
                <c:pt idx="51">
                  <c:v>343.5</c:v>
                </c:pt>
                <c:pt idx="52">
                  <c:v>13.8</c:v>
                </c:pt>
                <c:pt idx="53">
                  <c:v>26.9</c:v>
                </c:pt>
                <c:pt idx="54">
                  <c:v>40.1</c:v>
                </c:pt>
                <c:pt idx="55">
                  <c:v>53.7</c:v>
                </c:pt>
                <c:pt idx="56">
                  <c:v>67.7</c:v>
                </c:pt>
                <c:pt idx="57">
                  <c:v>82</c:v>
                </c:pt>
                <c:pt idx="58">
                  <c:v>96.6</c:v>
                </c:pt>
                <c:pt idx="59">
                  <c:v>111.5</c:v>
                </c:pt>
                <c:pt idx="60">
                  <c:v>126.69999999999999</c:v>
                </c:pt>
                <c:pt idx="61">
                  <c:v>142.1</c:v>
                </c:pt>
                <c:pt idx="62">
                  <c:v>222.4</c:v>
                </c:pt>
                <c:pt idx="63">
                  <c:v>306.60000000000002</c:v>
                </c:pt>
                <c:pt idx="64">
                  <c:v>393.4</c:v>
                </c:pt>
                <c:pt idx="65">
                  <c:v>17.600000000000001</c:v>
                </c:pt>
                <c:pt idx="66">
                  <c:v>33.1</c:v>
                </c:pt>
                <c:pt idx="67">
                  <c:v>48.7</c:v>
                </c:pt>
                <c:pt idx="68">
                  <c:v>64.5</c:v>
                </c:pt>
                <c:pt idx="69">
                  <c:v>80.7</c:v>
                </c:pt>
                <c:pt idx="70">
                  <c:v>97.1</c:v>
                </c:pt>
                <c:pt idx="71">
                  <c:v>113.8</c:v>
                </c:pt>
                <c:pt idx="72">
                  <c:v>130.80000000000001</c:v>
                </c:pt>
                <c:pt idx="73">
                  <c:v>148</c:v>
                </c:pt>
                <c:pt idx="74">
                  <c:v>165.5</c:v>
                </c:pt>
                <c:pt idx="75">
                  <c:v>255.7</c:v>
                </c:pt>
                <c:pt idx="76">
                  <c:v>349.6</c:v>
                </c:pt>
                <c:pt idx="77">
                  <c:v>445.8</c:v>
                </c:pt>
                <c:pt idx="78">
                  <c:v>36.1</c:v>
                </c:pt>
                <c:pt idx="79">
                  <c:v>68.400000000000006</c:v>
                </c:pt>
                <c:pt idx="80">
                  <c:v>111.5</c:v>
                </c:pt>
                <c:pt idx="81">
                  <c:v>165.5</c:v>
                </c:pt>
              </c:numCache>
            </c:numRef>
          </c:yVal>
          <c:smooth val="1"/>
          <c:extLst>
            <c:ext xmlns:c16="http://schemas.microsoft.com/office/drawing/2014/chart" uri="{C3380CC4-5D6E-409C-BE32-E72D297353CC}">
              <c16:uniqueId val="{00000000-9D9F-45F9-90FF-3B5D93E62B8A}"/>
            </c:ext>
          </c:extLst>
        </c:ser>
        <c:dLbls>
          <c:showLegendKey val="0"/>
          <c:showVal val="0"/>
          <c:showCatName val="0"/>
          <c:showSerName val="0"/>
          <c:showPercent val="0"/>
          <c:showBubbleSize val="0"/>
        </c:dLbls>
        <c:axId val="93842816"/>
        <c:axId val="93853184"/>
      </c:scatterChart>
      <c:valAx>
        <c:axId val="93842816"/>
        <c:scaling>
          <c:orientation val="minMax"/>
        </c:scaling>
        <c:delete val="0"/>
        <c:axPos val="b"/>
        <c:title>
          <c:tx>
            <c:rich>
              <a:bodyPr/>
              <a:lstStyle/>
              <a:p>
                <a:pPr>
                  <a:defRPr/>
                </a:pPr>
                <a:r>
                  <a:rPr lang="en-US" sz="1400"/>
                  <a:t>dX%</a:t>
                </a:r>
              </a:p>
            </c:rich>
          </c:tx>
          <c:overlay val="0"/>
        </c:title>
        <c:numFmt formatCode="0%" sourceLinked="1"/>
        <c:majorTickMark val="out"/>
        <c:minorTickMark val="none"/>
        <c:tickLblPos val="nextTo"/>
        <c:crossAx val="93853184"/>
        <c:crosses val="autoZero"/>
        <c:crossBetween val="midCat"/>
      </c:valAx>
      <c:valAx>
        <c:axId val="93853184"/>
        <c:scaling>
          <c:orientation val="minMax"/>
        </c:scaling>
        <c:delete val="0"/>
        <c:axPos val="l"/>
        <c:majorGridlines/>
        <c:title>
          <c:tx>
            <c:rich>
              <a:bodyPr rot="-5400000" vert="horz"/>
              <a:lstStyle/>
              <a:p>
                <a:pPr>
                  <a:defRPr/>
                </a:pPr>
                <a:r>
                  <a:rPr lang="en-US"/>
                  <a:t>dt =t2-t1</a:t>
                </a:r>
              </a:p>
            </c:rich>
          </c:tx>
          <c:overlay val="0"/>
        </c:title>
        <c:numFmt formatCode="General" sourceLinked="1"/>
        <c:majorTickMark val="out"/>
        <c:minorTickMark val="none"/>
        <c:tickLblPos val="nextTo"/>
        <c:crossAx val="93842816"/>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Option</a:t>
            </a:r>
            <a:r>
              <a:rPr lang="en-US" baseline="0"/>
              <a:t> </a:t>
            </a:r>
            <a:r>
              <a:rPr lang="en-US"/>
              <a:t>Time Value(ATM) vs Expiration Time</a:t>
            </a:r>
          </a:p>
        </c:rich>
      </c:tx>
      <c:overlay val="1"/>
    </c:title>
    <c:autoTitleDeleted val="0"/>
    <c:plotArea>
      <c:layout>
        <c:manualLayout>
          <c:layoutTarget val="inner"/>
          <c:xMode val="edge"/>
          <c:yMode val="edge"/>
          <c:x val="0.12127556344613549"/>
          <c:y val="0.14629280045774845"/>
          <c:w val="0.82101833656335121"/>
          <c:h val="0.71854386813535287"/>
        </c:manualLayout>
      </c:layout>
      <c:scatterChart>
        <c:scatterStyle val="smoothMarker"/>
        <c:varyColors val="0"/>
        <c:ser>
          <c:idx val="0"/>
          <c:order val="0"/>
          <c:tx>
            <c:strRef>
              <c:f>TimeValue_1!$H$6</c:f>
              <c:strCache>
                <c:ptCount val="1"/>
                <c:pt idx="0">
                  <c:v>IV=0.1</c:v>
                </c:pt>
              </c:strCache>
            </c:strRef>
          </c:tx>
          <c:xVal>
            <c:numRef>
              <c:f>TimeValue_1!$B$7:$B$13</c:f>
              <c:numCache>
                <c:formatCode>General</c:formatCode>
                <c:ptCount val="7"/>
                <c:pt idx="0">
                  <c:v>1</c:v>
                </c:pt>
                <c:pt idx="1">
                  <c:v>7</c:v>
                </c:pt>
                <c:pt idx="2">
                  <c:v>14</c:v>
                </c:pt>
                <c:pt idx="3">
                  <c:v>21</c:v>
                </c:pt>
                <c:pt idx="4">
                  <c:v>28</c:v>
                </c:pt>
                <c:pt idx="5">
                  <c:v>35</c:v>
                </c:pt>
                <c:pt idx="6">
                  <c:v>42</c:v>
                </c:pt>
              </c:numCache>
            </c:numRef>
          </c:xVal>
          <c:yVal>
            <c:numRef>
              <c:f>TimeValue_1!$H$7:$H$13</c:f>
              <c:numCache>
                <c:formatCode>General</c:formatCode>
                <c:ptCount val="7"/>
                <c:pt idx="0">
                  <c:v>0.2088156949207054</c:v>
                </c:pt>
                <c:pt idx="1">
                  <c:v>0.55247061456284996</c:v>
                </c:pt>
                <c:pt idx="2">
                  <c:v>0.78130519265595666</c:v>
                </c:pt>
                <c:pt idx="3">
                  <c:v>0.95689188139234105</c:v>
                </c:pt>
                <c:pt idx="4">
                  <c:v>1.1049147415493898</c:v>
                </c:pt>
                <c:pt idx="5">
                  <c:v>1.2353223646700995</c:v>
                </c:pt>
                <c:pt idx="6">
                  <c:v>1.3532170367997143</c:v>
                </c:pt>
              </c:numCache>
            </c:numRef>
          </c:yVal>
          <c:smooth val="1"/>
          <c:extLst>
            <c:ext xmlns:c16="http://schemas.microsoft.com/office/drawing/2014/chart" uri="{C3380CC4-5D6E-409C-BE32-E72D297353CC}">
              <c16:uniqueId val="{00000000-79C9-4B9F-B3B3-F37BB572F3F5}"/>
            </c:ext>
          </c:extLst>
        </c:ser>
        <c:ser>
          <c:idx val="1"/>
          <c:order val="1"/>
          <c:tx>
            <c:strRef>
              <c:f>TimeValue_1!$I$6</c:f>
              <c:strCache>
                <c:ptCount val="1"/>
                <c:pt idx="0">
                  <c:v>IV=0.2</c:v>
                </c:pt>
              </c:strCache>
            </c:strRef>
          </c:tx>
          <c:xVal>
            <c:numRef>
              <c:f>TimeValue_1!$B$7:$B$13</c:f>
              <c:numCache>
                <c:formatCode>General</c:formatCode>
                <c:ptCount val="7"/>
                <c:pt idx="0">
                  <c:v>1</c:v>
                </c:pt>
                <c:pt idx="1">
                  <c:v>7</c:v>
                </c:pt>
                <c:pt idx="2">
                  <c:v>14</c:v>
                </c:pt>
                <c:pt idx="3">
                  <c:v>21</c:v>
                </c:pt>
                <c:pt idx="4">
                  <c:v>28</c:v>
                </c:pt>
                <c:pt idx="5">
                  <c:v>35</c:v>
                </c:pt>
                <c:pt idx="6">
                  <c:v>42</c:v>
                </c:pt>
              </c:numCache>
            </c:numRef>
          </c:xVal>
          <c:yVal>
            <c:numRef>
              <c:f>TimeValue_1!$I$7:$I$13</c:f>
              <c:numCache>
                <c:formatCode>General</c:formatCode>
                <c:ptCount val="7"/>
                <c:pt idx="0">
                  <c:v>0.41762995960261673</c:v>
                </c:pt>
                <c:pt idx="1">
                  <c:v>1.1049147415493898</c:v>
                </c:pt>
                <c:pt idx="2">
                  <c:v>1.562535469826476</c:v>
                </c:pt>
                <c:pt idx="3">
                  <c:v>1.9136461391985105</c:v>
                </c:pt>
                <c:pt idx="4">
                  <c:v>2.2096176053453709</c:v>
                </c:pt>
                <c:pt idx="5">
                  <c:v>2.4703486318249812</c:v>
                </c:pt>
                <c:pt idx="6">
                  <c:v>2.7060448573026141</c:v>
                </c:pt>
              </c:numCache>
            </c:numRef>
          </c:yVal>
          <c:smooth val="1"/>
          <c:extLst>
            <c:ext xmlns:c16="http://schemas.microsoft.com/office/drawing/2014/chart" uri="{C3380CC4-5D6E-409C-BE32-E72D297353CC}">
              <c16:uniqueId val="{00000001-79C9-4B9F-B3B3-F37BB572F3F5}"/>
            </c:ext>
          </c:extLst>
        </c:ser>
        <c:ser>
          <c:idx val="2"/>
          <c:order val="2"/>
          <c:tx>
            <c:strRef>
              <c:f>TimeValue_1!$J$6</c:f>
              <c:strCache>
                <c:ptCount val="1"/>
                <c:pt idx="0">
                  <c:v>IV=0.3</c:v>
                </c:pt>
              </c:strCache>
            </c:strRef>
          </c:tx>
          <c:xVal>
            <c:numRef>
              <c:f>TimeValue_1!$B$7:$B$13</c:f>
              <c:numCache>
                <c:formatCode>General</c:formatCode>
                <c:ptCount val="7"/>
                <c:pt idx="0">
                  <c:v>1</c:v>
                </c:pt>
                <c:pt idx="1">
                  <c:v>7</c:v>
                </c:pt>
                <c:pt idx="2">
                  <c:v>14</c:v>
                </c:pt>
                <c:pt idx="3">
                  <c:v>21</c:v>
                </c:pt>
                <c:pt idx="4">
                  <c:v>28</c:v>
                </c:pt>
                <c:pt idx="5">
                  <c:v>35</c:v>
                </c:pt>
                <c:pt idx="6">
                  <c:v>42</c:v>
                </c:pt>
              </c:numCache>
            </c:numRef>
          </c:xVal>
          <c:yVal>
            <c:numRef>
              <c:f>TimeValue_1!$J$7:$J$13</c:f>
              <c:numCache>
                <c:formatCode>General</c:formatCode>
                <c:ptCount val="7"/>
                <c:pt idx="0">
                  <c:v>0.62644136383638305</c:v>
                </c:pt>
                <c:pt idx="1">
                  <c:v>1.6573058971929289</c:v>
                </c:pt>
                <c:pt idx="2">
                  <c:v>2.3436159375751719</c:v>
                </c:pt>
                <c:pt idx="3">
                  <c:v>2.8701252092099949</c:v>
                </c:pt>
                <c:pt idx="4">
                  <c:v>3.3138968355154397</c:v>
                </c:pt>
                <c:pt idx="5">
                  <c:v>3.7047829168494806</c:v>
                </c:pt>
                <c:pt idx="6">
                  <c:v>4.0580945810223312</c:v>
                </c:pt>
              </c:numCache>
            </c:numRef>
          </c:yVal>
          <c:smooth val="1"/>
          <c:extLst>
            <c:ext xmlns:c16="http://schemas.microsoft.com/office/drawing/2014/chart" uri="{C3380CC4-5D6E-409C-BE32-E72D297353CC}">
              <c16:uniqueId val="{00000002-79C9-4B9F-B3B3-F37BB572F3F5}"/>
            </c:ext>
          </c:extLst>
        </c:ser>
        <c:ser>
          <c:idx val="3"/>
          <c:order val="3"/>
          <c:tx>
            <c:strRef>
              <c:f>TimeValue_1!$K$6</c:f>
              <c:strCache>
                <c:ptCount val="1"/>
                <c:pt idx="0">
                  <c:v>IV=0.4</c:v>
                </c:pt>
              </c:strCache>
            </c:strRef>
          </c:tx>
          <c:xVal>
            <c:numRef>
              <c:f>TimeValue_1!$B$7:$B$13</c:f>
              <c:numCache>
                <c:formatCode>General</c:formatCode>
                <c:ptCount val="7"/>
                <c:pt idx="0">
                  <c:v>1</c:v>
                </c:pt>
                <c:pt idx="1">
                  <c:v>7</c:v>
                </c:pt>
                <c:pt idx="2">
                  <c:v>14</c:v>
                </c:pt>
                <c:pt idx="3">
                  <c:v>21</c:v>
                </c:pt>
                <c:pt idx="4">
                  <c:v>28</c:v>
                </c:pt>
                <c:pt idx="5">
                  <c:v>35</c:v>
                </c:pt>
                <c:pt idx="6">
                  <c:v>42</c:v>
                </c:pt>
              </c:numCache>
            </c:numRef>
          </c:xVal>
          <c:yVal>
            <c:numRef>
              <c:f>TimeValue_1!$K$7:$K$13</c:f>
              <c:numCache>
                <c:formatCode>General</c:formatCode>
                <c:ptCount val="7"/>
                <c:pt idx="0">
                  <c:v>0.8352484774714064</c:v>
                </c:pt>
                <c:pt idx="1">
                  <c:v>2.2096176053453709</c:v>
                </c:pt>
                <c:pt idx="2">
                  <c:v>3.1244717450536807</c:v>
                </c:pt>
                <c:pt idx="3">
                  <c:v>3.8261916459309653</c:v>
                </c:pt>
                <c:pt idx="4">
                  <c:v>4.417540919831886</c:v>
                </c:pt>
                <c:pt idx="5">
                  <c:v>4.9383297606734544</c:v>
                </c:pt>
                <c:pt idx="6">
                  <c:v>5.4089779986105091</c:v>
                </c:pt>
              </c:numCache>
            </c:numRef>
          </c:yVal>
          <c:smooth val="1"/>
          <c:extLst>
            <c:ext xmlns:c16="http://schemas.microsoft.com/office/drawing/2014/chart" uri="{C3380CC4-5D6E-409C-BE32-E72D297353CC}">
              <c16:uniqueId val="{00000003-79C9-4B9F-B3B3-F37BB572F3F5}"/>
            </c:ext>
          </c:extLst>
        </c:ser>
        <c:ser>
          <c:idx val="4"/>
          <c:order val="4"/>
          <c:tx>
            <c:strRef>
              <c:f>TimeValue_1!$L$6</c:f>
              <c:strCache>
                <c:ptCount val="1"/>
                <c:pt idx="0">
                  <c:v>IV=0.5</c:v>
                </c:pt>
              </c:strCache>
            </c:strRef>
          </c:tx>
          <c:xVal>
            <c:numRef>
              <c:f>TimeValue_1!$B$7:$B$13</c:f>
              <c:numCache>
                <c:formatCode>General</c:formatCode>
                <c:ptCount val="7"/>
                <c:pt idx="0">
                  <c:v>1</c:v>
                </c:pt>
                <c:pt idx="1">
                  <c:v>7</c:v>
                </c:pt>
                <c:pt idx="2">
                  <c:v>14</c:v>
                </c:pt>
                <c:pt idx="3">
                  <c:v>21</c:v>
                </c:pt>
                <c:pt idx="4">
                  <c:v>28</c:v>
                </c:pt>
                <c:pt idx="5">
                  <c:v>35</c:v>
                </c:pt>
                <c:pt idx="6">
                  <c:v>42</c:v>
                </c:pt>
              </c:numCache>
            </c:numRef>
          </c:xVal>
          <c:yVal>
            <c:numRef>
              <c:f>TimeValue_1!$L$7:$L$13</c:f>
              <c:numCache>
                <c:formatCode>General</c:formatCode>
                <c:ptCount val="7"/>
                <c:pt idx="0">
                  <c:v>1.0440498704451961</c:v>
                </c:pt>
                <c:pt idx="1">
                  <c:v>2.7618234012839249</c:v>
                </c:pt>
                <c:pt idx="2">
                  <c:v>3.9050281060196701</c:v>
                </c:pt>
                <c:pt idx="3">
                  <c:v>4.7817081818279483</c:v>
                </c:pt>
                <c:pt idx="4">
                  <c:v>5.5203387112423119</c:v>
                </c:pt>
                <c:pt idx="5">
                  <c:v>6.1706943419068683</c:v>
                </c:pt>
                <c:pt idx="6">
                  <c:v>6.7583079062197182</c:v>
                </c:pt>
              </c:numCache>
            </c:numRef>
          </c:yVal>
          <c:smooth val="1"/>
          <c:extLst>
            <c:ext xmlns:c16="http://schemas.microsoft.com/office/drawing/2014/chart" uri="{C3380CC4-5D6E-409C-BE32-E72D297353CC}">
              <c16:uniqueId val="{00000004-79C9-4B9F-B3B3-F37BB572F3F5}"/>
            </c:ext>
          </c:extLst>
        </c:ser>
        <c:dLbls>
          <c:showLegendKey val="0"/>
          <c:showVal val="0"/>
          <c:showCatName val="0"/>
          <c:showSerName val="0"/>
          <c:showPercent val="0"/>
          <c:showBubbleSize val="0"/>
        </c:dLbls>
        <c:axId val="185224576"/>
        <c:axId val="185230848"/>
      </c:scatterChart>
      <c:valAx>
        <c:axId val="185224576"/>
        <c:scaling>
          <c:orientation val="minMax"/>
        </c:scaling>
        <c:delete val="0"/>
        <c:axPos val="b"/>
        <c:title>
          <c:tx>
            <c:rich>
              <a:bodyPr/>
              <a:lstStyle/>
              <a:p>
                <a:pPr>
                  <a:defRPr/>
                </a:pPr>
                <a:r>
                  <a:rPr lang="en-US" sz="1200"/>
                  <a:t>Time</a:t>
                </a:r>
                <a:r>
                  <a:rPr lang="en-US" sz="1200" baseline="0"/>
                  <a:t> Before Expiration (days)</a:t>
                </a:r>
                <a:endParaRPr lang="en-US" sz="1200"/>
              </a:p>
            </c:rich>
          </c:tx>
          <c:layout>
            <c:manualLayout>
              <c:xMode val="edge"/>
              <c:yMode val="edge"/>
              <c:x val="0.32441812243349094"/>
              <c:y val="0.92403014289485363"/>
            </c:manualLayout>
          </c:layout>
          <c:overlay val="0"/>
        </c:title>
        <c:numFmt formatCode="General" sourceLinked="1"/>
        <c:majorTickMark val="out"/>
        <c:minorTickMark val="none"/>
        <c:tickLblPos val="nextTo"/>
        <c:crossAx val="185230848"/>
        <c:crosses val="autoZero"/>
        <c:crossBetween val="midCat"/>
      </c:valAx>
      <c:valAx>
        <c:axId val="185230848"/>
        <c:scaling>
          <c:orientation val="minMax"/>
        </c:scaling>
        <c:delete val="0"/>
        <c:axPos val="l"/>
        <c:majorGridlines/>
        <c:title>
          <c:tx>
            <c:rich>
              <a:bodyPr rot="-5400000" vert="horz"/>
              <a:lstStyle/>
              <a:p>
                <a:pPr>
                  <a:defRPr/>
                </a:pPr>
                <a:r>
                  <a:rPr lang="en-US" sz="1200" baseline="0"/>
                  <a:t>Time Value for ATM Option</a:t>
                </a:r>
                <a:endParaRPr lang="en-US" sz="1200"/>
              </a:p>
            </c:rich>
          </c:tx>
          <c:overlay val="0"/>
        </c:title>
        <c:numFmt formatCode="#,##0.00" sourceLinked="0"/>
        <c:majorTickMark val="out"/>
        <c:minorTickMark val="none"/>
        <c:tickLblPos val="nextTo"/>
        <c:crossAx val="185224576"/>
        <c:crosses val="autoZero"/>
        <c:crossBetween val="midCat"/>
      </c:valAx>
    </c:plotArea>
    <c:legend>
      <c:legendPos val="r"/>
      <c:layout>
        <c:manualLayout>
          <c:xMode val="edge"/>
          <c:yMode val="edge"/>
          <c:x val="0.12547233921341228"/>
          <c:y val="0.14253152817095061"/>
          <c:w val="0.15678447170847831"/>
          <c:h val="0.28493644297168658"/>
        </c:manualLayout>
      </c:layout>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Option</a:t>
            </a:r>
            <a:r>
              <a:rPr lang="en-US" baseline="0"/>
              <a:t> </a:t>
            </a:r>
            <a:r>
              <a:rPr lang="en-US"/>
              <a:t>Time Value(ATM) vs Implied</a:t>
            </a:r>
            <a:r>
              <a:rPr lang="en-US" baseline="0"/>
              <a:t> Volatility</a:t>
            </a:r>
            <a:endParaRPr lang="en-US"/>
          </a:p>
        </c:rich>
      </c:tx>
      <c:overlay val="1"/>
    </c:title>
    <c:autoTitleDeleted val="0"/>
    <c:plotArea>
      <c:layout>
        <c:manualLayout>
          <c:layoutTarget val="inner"/>
          <c:xMode val="edge"/>
          <c:yMode val="edge"/>
          <c:x val="0.12127556344613549"/>
          <c:y val="0.14629280045774845"/>
          <c:w val="0.82101833656335121"/>
          <c:h val="0.71854386813535287"/>
        </c:manualLayout>
      </c:layout>
      <c:scatterChart>
        <c:scatterStyle val="smoothMarker"/>
        <c:varyColors val="0"/>
        <c:ser>
          <c:idx val="3"/>
          <c:order val="0"/>
          <c:tx>
            <c:strRef>
              <c:f>TimeValue_1!$G$7</c:f>
              <c:strCache>
                <c:ptCount val="1"/>
                <c:pt idx="0">
                  <c:v>Tdays=1</c:v>
                </c:pt>
              </c:strCache>
            </c:strRef>
          </c:tx>
          <c:trendline>
            <c:trendlineType val="linear"/>
            <c:intercept val="0"/>
            <c:dispRSqr val="0"/>
            <c:dispEq val="1"/>
            <c:trendlineLbl>
              <c:layout>
                <c:manualLayout>
                  <c:x val="0.13765342122932309"/>
                  <c:y val="-4.2000250081066635E-2"/>
                </c:manualLayout>
              </c:layout>
              <c:numFmt formatCode="General" sourceLinked="0"/>
            </c:trendlineLbl>
          </c:trendline>
          <c:xVal>
            <c:numRef>
              <c:f>TimeValue_1!$H$5:$L$5</c:f>
              <c:numCache>
                <c:formatCode>0%</c:formatCode>
                <c:ptCount val="5"/>
                <c:pt idx="0">
                  <c:v>0.1</c:v>
                </c:pt>
                <c:pt idx="1">
                  <c:v>0.2</c:v>
                </c:pt>
                <c:pt idx="2">
                  <c:v>0.3</c:v>
                </c:pt>
                <c:pt idx="3">
                  <c:v>0.4</c:v>
                </c:pt>
                <c:pt idx="4">
                  <c:v>0.5</c:v>
                </c:pt>
              </c:numCache>
            </c:numRef>
          </c:xVal>
          <c:yVal>
            <c:numRef>
              <c:f>TimeValue_1!$H$7:$L$7</c:f>
              <c:numCache>
                <c:formatCode>General</c:formatCode>
                <c:ptCount val="5"/>
                <c:pt idx="0">
                  <c:v>0.2088156949207054</c:v>
                </c:pt>
                <c:pt idx="1">
                  <c:v>0.41762995960261673</c:v>
                </c:pt>
                <c:pt idx="2">
                  <c:v>0.62644136383638305</c:v>
                </c:pt>
                <c:pt idx="3">
                  <c:v>0.8352484774714064</c:v>
                </c:pt>
                <c:pt idx="4">
                  <c:v>1.0440498704451961</c:v>
                </c:pt>
              </c:numCache>
            </c:numRef>
          </c:yVal>
          <c:smooth val="1"/>
          <c:extLst>
            <c:ext xmlns:c16="http://schemas.microsoft.com/office/drawing/2014/chart" uri="{C3380CC4-5D6E-409C-BE32-E72D297353CC}">
              <c16:uniqueId val="{00000000-48F4-4ECE-B0D3-4DD9635511BF}"/>
            </c:ext>
          </c:extLst>
        </c:ser>
        <c:ser>
          <c:idx val="0"/>
          <c:order val="1"/>
          <c:tx>
            <c:strRef>
              <c:f>TimeValue_1!$G$8</c:f>
              <c:strCache>
                <c:ptCount val="1"/>
                <c:pt idx="0">
                  <c:v>Tdays=7</c:v>
                </c:pt>
              </c:strCache>
            </c:strRef>
          </c:tx>
          <c:trendline>
            <c:trendlineType val="linear"/>
            <c:intercept val="0"/>
            <c:dispRSqr val="0"/>
            <c:dispEq val="1"/>
            <c:trendlineLbl>
              <c:layout>
                <c:manualLayout>
                  <c:x val="0.13544153492441352"/>
                  <c:y val="-6.054111356328034E-3"/>
                </c:manualLayout>
              </c:layout>
              <c:numFmt formatCode="General" sourceLinked="0"/>
            </c:trendlineLbl>
          </c:trendline>
          <c:xVal>
            <c:numRef>
              <c:f>TimeValue_1!$H$5:$L$5</c:f>
              <c:numCache>
                <c:formatCode>0%</c:formatCode>
                <c:ptCount val="5"/>
                <c:pt idx="0">
                  <c:v>0.1</c:v>
                </c:pt>
                <c:pt idx="1">
                  <c:v>0.2</c:v>
                </c:pt>
                <c:pt idx="2">
                  <c:v>0.3</c:v>
                </c:pt>
                <c:pt idx="3">
                  <c:v>0.4</c:v>
                </c:pt>
                <c:pt idx="4">
                  <c:v>0.5</c:v>
                </c:pt>
              </c:numCache>
            </c:numRef>
          </c:xVal>
          <c:yVal>
            <c:numRef>
              <c:f>TimeValue_1!$H$8:$L$8</c:f>
              <c:numCache>
                <c:formatCode>General</c:formatCode>
                <c:ptCount val="5"/>
                <c:pt idx="0">
                  <c:v>0.55247061456284996</c:v>
                </c:pt>
                <c:pt idx="1">
                  <c:v>1.1049147415493898</c:v>
                </c:pt>
                <c:pt idx="2">
                  <c:v>1.6573058971929289</c:v>
                </c:pt>
                <c:pt idx="3">
                  <c:v>2.2096176053453709</c:v>
                </c:pt>
                <c:pt idx="4">
                  <c:v>2.7618234012839249</c:v>
                </c:pt>
              </c:numCache>
            </c:numRef>
          </c:yVal>
          <c:smooth val="1"/>
          <c:extLst>
            <c:ext xmlns:c16="http://schemas.microsoft.com/office/drawing/2014/chart" uri="{C3380CC4-5D6E-409C-BE32-E72D297353CC}">
              <c16:uniqueId val="{00000001-48F4-4ECE-B0D3-4DD9635511BF}"/>
            </c:ext>
          </c:extLst>
        </c:ser>
        <c:ser>
          <c:idx val="1"/>
          <c:order val="2"/>
          <c:tx>
            <c:strRef>
              <c:f>TimeValue_1!$G$9</c:f>
              <c:strCache>
                <c:ptCount val="1"/>
                <c:pt idx="0">
                  <c:v>Tdays=14</c:v>
                </c:pt>
              </c:strCache>
            </c:strRef>
          </c:tx>
          <c:trendline>
            <c:trendlineType val="linear"/>
            <c:intercept val="0"/>
            <c:dispRSqr val="0"/>
            <c:dispEq val="1"/>
            <c:trendlineLbl>
              <c:layout>
                <c:manualLayout>
                  <c:x val="0.13544153492441352"/>
                  <c:y val="1.0501307682810178E-3"/>
                </c:manualLayout>
              </c:layout>
              <c:numFmt formatCode="General" sourceLinked="0"/>
            </c:trendlineLbl>
          </c:trendline>
          <c:xVal>
            <c:numRef>
              <c:f>TimeValue_1!$H$5:$L$5</c:f>
              <c:numCache>
                <c:formatCode>0%</c:formatCode>
                <c:ptCount val="5"/>
                <c:pt idx="0">
                  <c:v>0.1</c:v>
                </c:pt>
                <c:pt idx="1">
                  <c:v>0.2</c:v>
                </c:pt>
                <c:pt idx="2">
                  <c:v>0.3</c:v>
                </c:pt>
                <c:pt idx="3">
                  <c:v>0.4</c:v>
                </c:pt>
                <c:pt idx="4">
                  <c:v>0.5</c:v>
                </c:pt>
              </c:numCache>
            </c:numRef>
          </c:xVal>
          <c:yVal>
            <c:numRef>
              <c:f>TimeValue_1!$H$9:$L$9</c:f>
              <c:numCache>
                <c:formatCode>General</c:formatCode>
                <c:ptCount val="5"/>
                <c:pt idx="0">
                  <c:v>0.78130519265595666</c:v>
                </c:pt>
                <c:pt idx="1">
                  <c:v>1.562535469826476</c:v>
                </c:pt>
                <c:pt idx="2">
                  <c:v>2.3436159375751719</c:v>
                </c:pt>
                <c:pt idx="3">
                  <c:v>3.1244717450536807</c:v>
                </c:pt>
                <c:pt idx="4">
                  <c:v>3.9050281060196701</c:v>
                </c:pt>
              </c:numCache>
            </c:numRef>
          </c:yVal>
          <c:smooth val="1"/>
          <c:extLst>
            <c:ext xmlns:c16="http://schemas.microsoft.com/office/drawing/2014/chart" uri="{C3380CC4-5D6E-409C-BE32-E72D297353CC}">
              <c16:uniqueId val="{00000002-48F4-4ECE-B0D3-4DD9635511BF}"/>
            </c:ext>
          </c:extLst>
        </c:ser>
        <c:ser>
          <c:idx val="2"/>
          <c:order val="3"/>
          <c:tx>
            <c:strRef>
              <c:f>TimeValue_1!$G$10</c:f>
              <c:strCache>
                <c:ptCount val="1"/>
                <c:pt idx="0">
                  <c:v>Tdays=21</c:v>
                </c:pt>
              </c:strCache>
            </c:strRef>
          </c:tx>
          <c:trendline>
            <c:trendlineType val="linear"/>
            <c:intercept val="0"/>
            <c:dispRSqr val="0"/>
            <c:dispEq val="1"/>
            <c:trendlineLbl>
              <c:layout>
                <c:manualLayout>
                  <c:x val="0.13765342122932309"/>
                  <c:y val="-4.4956921308086505E-4"/>
                </c:manualLayout>
              </c:layout>
              <c:numFmt formatCode="General" sourceLinked="0"/>
            </c:trendlineLbl>
          </c:trendline>
          <c:xVal>
            <c:numRef>
              <c:f>TimeValue_1!$H$5:$L$5</c:f>
              <c:numCache>
                <c:formatCode>0%</c:formatCode>
                <c:ptCount val="5"/>
                <c:pt idx="0">
                  <c:v>0.1</c:v>
                </c:pt>
                <c:pt idx="1">
                  <c:v>0.2</c:v>
                </c:pt>
                <c:pt idx="2">
                  <c:v>0.3</c:v>
                </c:pt>
                <c:pt idx="3">
                  <c:v>0.4</c:v>
                </c:pt>
                <c:pt idx="4">
                  <c:v>0.5</c:v>
                </c:pt>
              </c:numCache>
            </c:numRef>
          </c:xVal>
          <c:yVal>
            <c:numRef>
              <c:f>TimeValue_1!$H$10:$L$10</c:f>
              <c:numCache>
                <c:formatCode>General</c:formatCode>
                <c:ptCount val="5"/>
                <c:pt idx="0">
                  <c:v>0.95689188139234105</c:v>
                </c:pt>
                <c:pt idx="1">
                  <c:v>1.9136461391985105</c:v>
                </c:pt>
                <c:pt idx="2">
                  <c:v>2.8701252092099949</c:v>
                </c:pt>
                <c:pt idx="3">
                  <c:v>3.8261916459309653</c:v>
                </c:pt>
                <c:pt idx="4">
                  <c:v>4.7817081818279483</c:v>
                </c:pt>
              </c:numCache>
            </c:numRef>
          </c:yVal>
          <c:smooth val="1"/>
          <c:extLst>
            <c:ext xmlns:c16="http://schemas.microsoft.com/office/drawing/2014/chart" uri="{C3380CC4-5D6E-409C-BE32-E72D297353CC}">
              <c16:uniqueId val="{00000003-48F4-4ECE-B0D3-4DD9635511BF}"/>
            </c:ext>
          </c:extLst>
        </c:ser>
        <c:ser>
          <c:idx val="4"/>
          <c:order val="4"/>
          <c:tx>
            <c:strRef>
              <c:f>TimeValue_1!$G$11</c:f>
              <c:strCache>
                <c:ptCount val="1"/>
                <c:pt idx="0">
                  <c:v>Tdays=28</c:v>
                </c:pt>
              </c:strCache>
            </c:strRef>
          </c:tx>
          <c:trendline>
            <c:trendlineType val="linear"/>
            <c:intercept val="0"/>
            <c:dispRSqr val="0"/>
            <c:dispEq val="1"/>
            <c:trendlineLbl>
              <c:layout>
                <c:manualLayout>
                  <c:x val="0.13558623776679077"/>
                  <c:y val="1.5017970972246507E-3"/>
                </c:manualLayout>
              </c:layout>
              <c:numFmt formatCode="General" sourceLinked="0"/>
            </c:trendlineLbl>
          </c:trendline>
          <c:xVal>
            <c:numRef>
              <c:f>TimeValue_1!$H$5:$L$5</c:f>
              <c:numCache>
                <c:formatCode>0%</c:formatCode>
                <c:ptCount val="5"/>
                <c:pt idx="0">
                  <c:v>0.1</c:v>
                </c:pt>
                <c:pt idx="1">
                  <c:v>0.2</c:v>
                </c:pt>
                <c:pt idx="2">
                  <c:v>0.3</c:v>
                </c:pt>
                <c:pt idx="3">
                  <c:v>0.4</c:v>
                </c:pt>
                <c:pt idx="4">
                  <c:v>0.5</c:v>
                </c:pt>
              </c:numCache>
            </c:numRef>
          </c:xVal>
          <c:yVal>
            <c:numRef>
              <c:f>TimeValue_1!$H$11:$L$11</c:f>
              <c:numCache>
                <c:formatCode>General</c:formatCode>
                <c:ptCount val="5"/>
                <c:pt idx="0">
                  <c:v>1.1049147415493898</c:v>
                </c:pt>
                <c:pt idx="1">
                  <c:v>2.2096176053453709</c:v>
                </c:pt>
                <c:pt idx="2">
                  <c:v>3.3138968355154397</c:v>
                </c:pt>
                <c:pt idx="3">
                  <c:v>4.417540919831886</c:v>
                </c:pt>
                <c:pt idx="4">
                  <c:v>5.5203387112423119</c:v>
                </c:pt>
              </c:numCache>
            </c:numRef>
          </c:yVal>
          <c:smooth val="1"/>
          <c:extLst>
            <c:ext xmlns:c16="http://schemas.microsoft.com/office/drawing/2014/chart" uri="{C3380CC4-5D6E-409C-BE32-E72D297353CC}">
              <c16:uniqueId val="{00000004-48F4-4ECE-B0D3-4DD9635511BF}"/>
            </c:ext>
          </c:extLst>
        </c:ser>
        <c:ser>
          <c:idx val="5"/>
          <c:order val="5"/>
          <c:tx>
            <c:strRef>
              <c:f>TimeValue_1!$G$12</c:f>
              <c:strCache>
                <c:ptCount val="1"/>
                <c:pt idx="0">
                  <c:v>Tdays=35</c:v>
                </c:pt>
              </c:strCache>
            </c:strRef>
          </c:tx>
          <c:trendline>
            <c:trendlineType val="linear"/>
            <c:intercept val="0"/>
            <c:dispRSqr val="0"/>
            <c:dispEq val="1"/>
            <c:trendlineLbl>
              <c:layout>
                <c:manualLayout>
                  <c:x val="0.13854636477242083"/>
                  <c:y val="1.1809383702211644E-3"/>
                </c:manualLayout>
              </c:layout>
              <c:numFmt formatCode="General" sourceLinked="0"/>
            </c:trendlineLbl>
          </c:trendline>
          <c:xVal>
            <c:numRef>
              <c:f>TimeValue_1!$H$5:$L$5</c:f>
              <c:numCache>
                <c:formatCode>0%</c:formatCode>
                <c:ptCount val="5"/>
                <c:pt idx="0">
                  <c:v>0.1</c:v>
                </c:pt>
                <c:pt idx="1">
                  <c:v>0.2</c:v>
                </c:pt>
                <c:pt idx="2">
                  <c:v>0.3</c:v>
                </c:pt>
                <c:pt idx="3">
                  <c:v>0.4</c:v>
                </c:pt>
                <c:pt idx="4">
                  <c:v>0.5</c:v>
                </c:pt>
              </c:numCache>
            </c:numRef>
          </c:xVal>
          <c:yVal>
            <c:numRef>
              <c:f>TimeValue_1!$H$12:$L$12</c:f>
              <c:numCache>
                <c:formatCode>General</c:formatCode>
                <c:ptCount val="5"/>
                <c:pt idx="0">
                  <c:v>1.2353223646700995</c:v>
                </c:pt>
                <c:pt idx="1">
                  <c:v>2.4703486318249812</c:v>
                </c:pt>
                <c:pt idx="2">
                  <c:v>3.7047829168494806</c:v>
                </c:pt>
                <c:pt idx="3">
                  <c:v>4.9383297606734544</c:v>
                </c:pt>
                <c:pt idx="4">
                  <c:v>6.1706943419068683</c:v>
                </c:pt>
              </c:numCache>
            </c:numRef>
          </c:yVal>
          <c:smooth val="1"/>
          <c:extLst>
            <c:ext xmlns:c16="http://schemas.microsoft.com/office/drawing/2014/chart" uri="{C3380CC4-5D6E-409C-BE32-E72D297353CC}">
              <c16:uniqueId val="{00000005-48F4-4ECE-B0D3-4DD9635511BF}"/>
            </c:ext>
          </c:extLst>
        </c:ser>
        <c:ser>
          <c:idx val="6"/>
          <c:order val="6"/>
          <c:tx>
            <c:strRef>
              <c:f>TimeValue_1!$G$13</c:f>
              <c:strCache>
                <c:ptCount val="1"/>
                <c:pt idx="0">
                  <c:v>Tdays=42</c:v>
                </c:pt>
              </c:strCache>
            </c:strRef>
          </c:tx>
          <c:trendline>
            <c:trendlineType val="linear"/>
            <c:intercept val="0"/>
            <c:dispRSqr val="0"/>
            <c:dispEq val="1"/>
            <c:trendlineLbl>
              <c:layout>
                <c:manualLayout>
                  <c:x val="0.13082808209031757"/>
                  <c:y val="7.4264115490267678E-4"/>
                </c:manualLayout>
              </c:layout>
              <c:numFmt formatCode="General" sourceLinked="0"/>
            </c:trendlineLbl>
          </c:trendline>
          <c:xVal>
            <c:numRef>
              <c:f>TimeValue_1!$H$5:$L$5</c:f>
              <c:numCache>
                <c:formatCode>0%</c:formatCode>
                <c:ptCount val="5"/>
                <c:pt idx="0">
                  <c:v>0.1</c:v>
                </c:pt>
                <c:pt idx="1">
                  <c:v>0.2</c:v>
                </c:pt>
                <c:pt idx="2">
                  <c:v>0.3</c:v>
                </c:pt>
                <c:pt idx="3">
                  <c:v>0.4</c:v>
                </c:pt>
                <c:pt idx="4">
                  <c:v>0.5</c:v>
                </c:pt>
              </c:numCache>
            </c:numRef>
          </c:xVal>
          <c:yVal>
            <c:numRef>
              <c:f>TimeValue_1!$H$13:$L$13</c:f>
              <c:numCache>
                <c:formatCode>General</c:formatCode>
                <c:ptCount val="5"/>
                <c:pt idx="0">
                  <c:v>1.3532170367997143</c:v>
                </c:pt>
                <c:pt idx="1">
                  <c:v>2.7060448573026141</c:v>
                </c:pt>
                <c:pt idx="2">
                  <c:v>4.0580945810223312</c:v>
                </c:pt>
                <c:pt idx="3">
                  <c:v>5.4089779986105091</c:v>
                </c:pt>
                <c:pt idx="4">
                  <c:v>6.7583079062197182</c:v>
                </c:pt>
              </c:numCache>
            </c:numRef>
          </c:yVal>
          <c:smooth val="1"/>
          <c:extLst>
            <c:ext xmlns:c16="http://schemas.microsoft.com/office/drawing/2014/chart" uri="{C3380CC4-5D6E-409C-BE32-E72D297353CC}">
              <c16:uniqueId val="{00000006-48F4-4ECE-B0D3-4DD9635511BF}"/>
            </c:ext>
          </c:extLst>
        </c:ser>
        <c:dLbls>
          <c:showLegendKey val="0"/>
          <c:showVal val="0"/>
          <c:showCatName val="0"/>
          <c:showSerName val="0"/>
          <c:showPercent val="0"/>
          <c:showBubbleSize val="0"/>
        </c:dLbls>
        <c:axId val="185450880"/>
        <c:axId val="185452800"/>
      </c:scatterChart>
      <c:valAx>
        <c:axId val="185450880"/>
        <c:scaling>
          <c:orientation val="minMax"/>
        </c:scaling>
        <c:delete val="0"/>
        <c:axPos val="b"/>
        <c:title>
          <c:tx>
            <c:rich>
              <a:bodyPr/>
              <a:lstStyle/>
              <a:p>
                <a:pPr>
                  <a:defRPr/>
                </a:pPr>
                <a:r>
                  <a:rPr lang="en-US" sz="1200" baseline="0"/>
                  <a:t>IV (%)</a:t>
                </a:r>
                <a:endParaRPr lang="en-US" sz="1200"/>
              </a:p>
            </c:rich>
          </c:tx>
          <c:layout>
            <c:manualLayout>
              <c:xMode val="edge"/>
              <c:yMode val="edge"/>
              <c:x val="0.5145989542004924"/>
              <c:y val="0.93401765719128571"/>
            </c:manualLayout>
          </c:layout>
          <c:overlay val="0"/>
        </c:title>
        <c:numFmt formatCode="0%" sourceLinked="1"/>
        <c:majorTickMark val="out"/>
        <c:minorTickMark val="none"/>
        <c:tickLblPos val="nextTo"/>
        <c:crossAx val="185452800"/>
        <c:crosses val="autoZero"/>
        <c:crossBetween val="midCat"/>
      </c:valAx>
      <c:valAx>
        <c:axId val="185452800"/>
        <c:scaling>
          <c:orientation val="minMax"/>
        </c:scaling>
        <c:delete val="0"/>
        <c:axPos val="l"/>
        <c:majorGridlines/>
        <c:title>
          <c:tx>
            <c:rich>
              <a:bodyPr rot="-5400000" vert="horz"/>
              <a:lstStyle/>
              <a:p>
                <a:pPr>
                  <a:defRPr/>
                </a:pPr>
                <a:r>
                  <a:rPr lang="en-US" sz="1200" baseline="0"/>
                  <a:t>Time Value for ATM Option</a:t>
                </a:r>
                <a:endParaRPr lang="en-US" sz="1200"/>
              </a:p>
            </c:rich>
          </c:tx>
          <c:overlay val="0"/>
        </c:title>
        <c:numFmt formatCode="#,##0.00" sourceLinked="0"/>
        <c:majorTickMark val="out"/>
        <c:minorTickMark val="none"/>
        <c:tickLblPos val="nextTo"/>
        <c:crossAx val="185450880"/>
        <c:crosses val="autoZero"/>
        <c:crossBetween val="midCat"/>
      </c:valAx>
    </c:plotArea>
    <c:legend>
      <c:legendPos val="r"/>
      <c:layout>
        <c:manualLayout>
          <c:xMode val="edge"/>
          <c:yMode val="edge"/>
          <c:x val="0.12547232800719188"/>
          <c:y val="0.14918987103523862"/>
          <c:w val="0.27798474027955805"/>
          <c:h val="0.42751410769161807"/>
        </c:manualLayout>
      </c:layout>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strRef>
              <c:f>TimeValue_1!$P$6</c:f>
              <c:strCache>
                <c:ptCount val="1"/>
                <c:pt idx="0">
                  <c:v>b(t)</c:v>
                </c:pt>
              </c:strCache>
            </c:strRef>
          </c:tx>
          <c:spPr>
            <a:ln w="28575">
              <a:noFill/>
            </a:ln>
          </c:spPr>
          <c:xVal>
            <c:numRef>
              <c:f>TimeValue_1!$O$7:$O$14</c:f>
              <c:numCache>
                <c:formatCode>General</c:formatCode>
                <c:ptCount val="8"/>
                <c:pt idx="0">
                  <c:v>1</c:v>
                </c:pt>
                <c:pt idx="1">
                  <c:v>7</c:v>
                </c:pt>
                <c:pt idx="2">
                  <c:v>14</c:v>
                </c:pt>
                <c:pt idx="3">
                  <c:v>21</c:v>
                </c:pt>
                <c:pt idx="4">
                  <c:v>28</c:v>
                </c:pt>
                <c:pt idx="5">
                  <c:v>35</c:v>
                </c:pt>
                <c:pt idx="6">
                  <c:v>42</c:v>
                </c:pt>
                <c:pt idx="7">
                  <c:v>365</c:v>
                </c:pt>
              </c:numCache>
            </c:numRef>
          </c:xVal>
          <c:yVal>
            <c:numRef>
              <c:f>TimeValue_1!$P$7:$P$14</c:f>
              <c:numCache>
                <c:formatCode>General</c:formatCode>
                <c:ptCount val="8"/>
                <c:pt idx="0">
                  <c:v>2.0880868689177712</c:v>
                </c:pt>
                <c:pt idx="1">
                  <c:v>5.5234084372381309</c:v>
                </c:pt>
                <c:pt idx="2">
                  <c:v>7.8093821019546317</c:v>
                </c:pt>
                <c:pt idx="3">
                  <c:v>9.5621781076036676</c:v>
                </c:pt>
                <c:pt idx="4">
                  <c:v>11.038771253872358</c:v>
                </c:pt>
                <c:pt idx="5">
                  <c:v>12.338725083322011</c:v>
                </c:pt>
                <c:pt idx="6">
                  <c:v>13.513114880147903</c:v>
                </c:pt>
                <c:pt idx="7">
                  <c:v>39.393382370235287</c:v>
                </c:pt>
              </c:numCache>
            </c:numRef>
          </c:yVal>
          <c:smooth val="0"/>
          <c:extLst>
            <c:ext xmlns:c16="http://schemas.microsoft.com/office/drawing/2014/chart" uri="{C3380CC4-5D6E-409C-BE32-E72D297353CC}">
              <c16:uniqueId val="{00000000-752A-44A2-B1BF-1B35452FE796}"/>
            </c:ext>
          </c:extLst>
        </c:ser>
        <c:dLbls>
          <c:showLegendKey val="0"/>
          <c:showVal val="0"/>
          <c:showCatName val="0"/>
          <c:showSerName val="0"/>
          <c:showPercent val="0"/>
          <c:showBubbleSize val="0"/>
        </c:dLbls>
        <c:axId val="185350784"/>
        <c:axId val="185352576"/>
      </c:scatterChart>
      <c:valAx>
        <c:axId val="185350784"/>
        <c:scaling>
          <c:orientation val="minMax"/>
        </c:scaling>
        <c:delete val="0"/>
        <c:axPos val="b"/>
        <c:numFmt formatCode="General" sourceLinked="1"/>
        <c:majorTickMark val="out"/>
        <c:minorTickMark val="none"/>
        <c:tickLblPos val="nextTo"/>
        <c:crossAx val="185352576"/>
        <c:crosses val="autoZero"/>
        <c:crossBetween val="midCat"/>
      </c:valAx>
      <c:valAx>
        <c:axId val="185352576"/>
        <c:scaling>
          <c:orientation val="minMax"/>
        </c:scaling>
        <c:delete val="0"/>
        <c:axPos val="l"/>
        <c:majorGridlines/>
        <c:numFmt formatCode="General" sourceLinked="1"/>
        <c:majorTickMark val="out"/>
        <c:minorTickMark val="none"/>
        <c:tickLblPos val="nextTo"/>
        <c:crossAx val="185350784"/>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1"/>
          <c:order val="0"/>
          <c:trendline>
            <c:trendlineType val="exp"/>
            <c:intercept val="1"/>
            <c:dispRSqr val="1"/>
            <c:dispEq val="1"/>
            <c:trendlineLbl>
              <c:layout>
                <c:manualLayout>
                  <c:x val="0.18414216972878389"/>
                  <c:y val="2.1372849227179937E-3"/>
                </c:manualLayout>
              </c:layout>
              <c:numFmt formatCode="General" sourceLinked="0"/>
            </c:trendlineLbl>
          </c:trendline>
          <c:xVal>
            <c:numRef>
              <c:f>TimeValue_1!$C$42:$C$66</c:f>
              <c:numCache>
                <c:formatCode>0.00</c:formatCode>
                <c:ptCount val="25"/>
                <c:pt idx="0">
                  <c:v>0</c:v>
                </c:pt>
                <c:pt idx="1">
                  <c:v>0.25</c:v>
                </c:pt>
                <c:pt idx="2">
                  <c:v>0.5</c:v>
                </c:pt>
                <c:pt idx="3">
                  <c:v>0.75</c:v>
                </c:pt>
                <c:pt idx="4">
                  <c:v>1</c:v>
                </c:pt>
                <c:pt idx="5">
                  <c:v>1.25</c:v>
                </c:pt>
                <c:pt idx="6">
                  <c:v>1.5</c:v>
                </c:pt>
                <c:pt idx="7">
                  <c:v>1.7500000000000002</c:v>
                </c:pt>
                <c:pt idx="8">
                  <c:v>2</c:v>
                </c:pt>
                <c:pt idx="9">
                  <c:v>2.25</c:v>
                </c:pt>
                <c:pt idx="10">
                  <c:v>2.5</c:v>
                </c:pt>
                <c:pt idx="11">
                  <c:v>2.75</c:v>
                </c:pt>
                <c:pt idx="12">
                  <c:v>3</c:v>
                </c:pt>
                <c:pt idx="13">
                  <c:v>3.25</c:v>
                </c:pt>
                <c:pt idx="14">
                  <c:v>3.5000000000000004</c:v>
                </c:pt>
                <c:pt idx="15">
                  <c:v>3.75</c:v>
                </c:pt>
                <c:pt idx="16">
                  <c:v>4</c:v>
                </c:pt>
                <c:pt idx="17">
                  <c:v>4.25</c:v>
                </c:pt>
                <c:pt idx="18">
                  <c:v>4.5</c:v>
                </c:pt>
                <c:pt idx="19">
                  <c:v>4.75</c:v>
                </c:pt>
                <c:pt idx="20">
                  <c:v>5</c:v>
                </c:pt>
                <c:pt idx="21">
                  <c:v>5.25</c:v>
                </c:pt>
                <c:pt idx="22">
                  <c:v>5.5</c:v>
                </c:pt>
                <c:pt idx="23">
                  <c:v>5.75</c:v>
                </c:pt>
                <c:pt idx="24">
                  <c:v>6</c:v>
                </c:pt>
              </c:numCache>
            </c:numRef>
          </c:xVal>
          <c:yVal>
            <c:numRef>
              <c:f>TimeValue_1!$I$42:$I$66</c:f>
              <c:numCache>
                <c:formatCode>0.000</c:formatCode>
                <c:ptCount val="25"/>
                <c:pt idx="0">
                  <c:v>0.99995890562953049</c:v>
                </c:pt>
                <c:pt idx="1">
                  <c:v>0.90460235959908042</c:v>
                </c:pt>
                <c:pt idx="2">
                  <c:v>0.81553499505509297</c:v>
                </c:pt>
                <c:pt idx="3">
                  <c:v>0.7326745365005316</c:v>
                </c:pt>
                <c:pt idx="4">
                  <c:v>0.65590175813373497</c:v>
                </c:pt>
                <c:pt idx="5">
                  <c:v>0.58506293415933075</c:v>
                </c:pt>
                <c:pt idx="6">
                  <c:v>0.51997284405041255</c:v>
                </c:pt>
                <c:pt idx="7">
                  <c:v>0.46041823742457677</c:v>
                </c:pt>
                <c:pt idx="8">
                  <c:v>0.40616165361910345</c:v>
                </c:pt>
                <c:pt idx="9">
                  <c:v>0.35694548577429541</c:v>
                </c:pt>
                <c:pt idx="10">
                  <c:v>0.31249617822921832</c:v>
                </c:pt>
                <c:pt idx="11">
                  <c:v>0.27252844906680646</c:v>
                </c:pt>
                <c:pt idx="12">
                  <c:v>0.23674943631179354</c:v>
                </c:pt>
                <c:pt idx="13">
                  <c:v>0.20486267603278749</c:v>
                </c:pt>
                <c:pt idx="14">
                  <c:v>0.17657183278676292</c:v>
                </c:pt>
                <c:pt idx="15">
                  <c:v>0.15158411676008648</c:v>
                </c:pt>
                <c:pt idx="16">
                  <c:v>0.12961333688924104</c:v>
                </c:pt>
                <c:pt idx="17">
                  <c:v>0.11038255448727366</c:v>
                </c:pt>
                <c:pt idx="18">
                  <c:v>9.3626316819313493E-2</c:v>
                </c:pt>
                <c:pt idx="19">
                  <c:v>7.9092464105943588E-2</c:v>
                </c:pt>
                <c:pt idx="20">
                  <c:v>6.6543516132217304E-2</c:v>
                </c:pt>
                <c:pt idx="21">
                  <c:v>5.5757655661290879E-2</c:v>
                </c:pt>
                <c:pt idx="22">
                  <c:v>4.6529334969647861E-2</c:v>
                </c:pt>
                <c:pt idx="23">
                  <c:v>3.8669538923530429E-2</c:v>
                </c:pt>
                <c:pt idx="24">
                  <c:v>3.2005743095255564E-2</c:v>
                </c:pt>
              </c:numCache>
            </c:numRef>
          </c:yVal>
          <c:smooth val="1"/>
          <c:extLst>
            <c:ext xmlns:c16="http://schemas.microsoft.com/office/drawing/2014/chart" uri="{C3380CC4-5D6E-409C-BE32-E72D297353CC}">
              <c16:uniqueId val="{00000000-94A6-4FD8-A408-4CDECD3F63BE}"/>
            </c:ext>
          </c:extLst>
        </c:ser>
        <c:ser>
          <c:idx val="2"/>
          <c:order val="1"/>
          <c:xVal>
            <c:numRef>
              <c:f>TimeValue_1!$C$42:$C$66</c:f>
              <c:numCache>
                <c:formatCode>0.00</c:formatCode>
                <c:ptCount val="25"/>
                <c:pt idx="0">
                  <c:v>0</c:v>
                </c:pt>
                <c:pt idx="1">
                  <c:v>0.25</c:v>
                </c:pt>
                <c:pt idx="2">
                  <c:v>0.5</c:v>
                </c:pt>
                <c:pt idx="3">
                  <c:v>0.75</c:v>
                </c:pt>
                <c:pt idx="4">
                  <c:v>1</c:v>
                </c:pt>
                <c:pt idx="5">
                  <c:v>1.25</c:v>
                </c:pt>
                <c:pt idx="6">
                  <c:v>1.5</c:v>
                </c:pt>
                <c:pt idx="7">
                  <c:v>1.7500000000000002</c:v>
                </c:pt>
                <c:pt idx="8">
                  <c:v>2</c:v>
                </c:pt>
                <c:pt idx="9">
                  <c:v>2.25</c:v>
                </c:pt>
                <c:pt idx="10">
                  <c:v>2.5</c:v>
                </c:pt>
                <c:pt idx="11">
                  <c:v>2.75</c:v>
                </c:pt>
                <c:pt idx="12">
                  <c:v>3</c:v>
                </c:pt>
                <c:pt idx="13">
                  <c:v>3.25</c:v>
                </c:pt>
                <c:pt idx="14">
                  <c:v>3.5000000000000004</c:v>
                </c:pt>
                <c:pt idx="15">
                  <c:v>3.75</c:v>
                </c:pt>
                <c:pt idx="16">
                  <c:v>4</c:v>
                </c:pt>
                <c:pt idx="17">
                  <c:v>4.25</c:v>
                </c:pt>
                <c:pt idx="18">
                  <c:v>4.5</c:v>
                </c:pt>
                <c:pt idx="19">
                  <c:v>4.75</c:v>
                </c:pt>
                <c:pt idx="20">
                  <c:v>5</c:v>
                </c:pt>
                <c:pt idx="21">
                  <c:v>5.25</c:v>
                </c:pt>
                <c:pt idx="22">
                  <c:v>5.5</c:v>
                </c:pt>
                <c:pt idx="23">
                  <c:v>5.75</c:v>
                </c:pt>
                <c:pt idx="24">
                  <c:v>6</c:v>
                </c:pt>
              </c:numCache>
            </c:numRef>
          </c:xVal>
          <c:yVal>
            <c:numRef>
              <c:f>TimeValue_1!$J$42:$J$66</c:f>
              <c:numCache>
                <c:formatCode>0.000</c:formatCode>
                <c:ptCount val="25"/>
                <c:pt idx="0">
                  <c:v>0.99971240323108657</c:v>
                </c:pt>
                <c:pt idx="1">
                  <c:v>0.96370458890143906</c:v>
                </c:pt>
                <c:pt idx="2">
                  <c:v>0.92859739850608569</c:v>
                </c:pt>
                <c:pt idx="3">
                  <c:v>0.89438626427263312</c:v>
                </c:pt>
                <c:pt idx="4">
                  <c:v>0.86106585526637003</c:v>
                </c:pt>
                <c:pt idx="5">
                  <c:v>0.82863009713403024</c:v>
                </c:pt>
                <c:pt idx="6">
                  <c:v>0.79707219350294167</c:v>
                </c:pt>
                <c:pt idx="7">
                  <c:v>0.76638464892343283</c:v>
                </c:pt>
                <c:pt idx="8">
                  <c:v>0.73655929323818703</c:v>
                </c:pt>
                <c:pt idx="9">
                  <c:v>0.70758730725899399</c:v>
                </c:pt>
                <c:pt idx="10">
                  <c:v>0.67945924962892545</c:v>
                </c:pt>
                <c:pt idx="11">
                  <c:v>0.65216508474584278</c:v>
                </c:pt>
                <c:pt idx="12">
                  <c:v>0.6256942116223061</c:v>
                </c:pt>
                <c:pt idx="13">
                  <c:v>0.60003549355641228</c:v>
                </c:pt>
                <c:pt idx="14">
                  <c:v>0.57517728848836747</c:v>
                </c:pt>
                <c:pt idx="15">
                  <c:v>0.55110747991840692</c:v>
                </c:pt>
                <c:pt idx="16">
                  <c:v>0.52781350826346396</c:v>
                </c:pt>
                <c:pt idx="17">
                  <c:v>0.50528240253164358</c:v>
                </c:pt>
                <c:pt idx="18">
                  <c:v>0.48350081219671065</c:v>
                </c:pt>
                <c:pt idx="19">
                  <c:v>0.4624550391575476</c:v>
                </c:pt>
                <c:pt idx="20">
                  <c:v>0.44213106967140975</c:v>
                </c:pt>
                <c:pt idx="21">
                  <c:v>0.42251460615366093</c:v>
                </c:pt>
                <c:pt idx="22">
                  <c:v>0.40359109874138427</c:v>
                </c:pt>
                <c:pt idx="23">
                  <c:v>0.38534577652272844</c:v>
                </c:pt>
                <c:pt idx="24">
                  <c:v>0.36776367833924972</c:v>
                </c:pt>
              </c:numCache>
            </c:numRef>
          </c:yVal>
          <c:smooth val="1"/>
          <c:extLst>
            <c:ext xmlns:c16="http://schemas.microsoft.com/office/drawing/2014/chart" uri="{C3380CC4-5D6E-409C-BE32-E72D297353CC}">
              <c16:uniqueId val="{00000001-94A6-4FD8-A408-4CDECD3F63BE}"/>
            </c:ext>
          </c:extLst>
        </c:ser>
        <c:ser>
          <c:idx val="3"/>
          <c:order val="2"/>
          <c:xVal>
            <c:numRef>
              <c:f>TimeValue_1!$C$42:$C$66</c:f>
              <c:numCache>
                <c:formatCode>0.00</c:formatCode>
                <c:ptCount val="25"/>
                <c:pt idx="0">
                  <c:v>0</c:v>
                </c:pt>
                <c:pt idx="1">
                  <c:v>0.25</c:v>
                </c:pt>
                <c:pt idx="2">
                  <c:v>0.5</c:v>
                </c:pt>
                <c:pt idx="3">
                  <c:v>0.75</c:v>
                </c:pt>
                <c:pt idx="4">
                  <c:v>1</c:v>
                </c:pt>
                <c:pt idx="5">
                  <c:v>1.25</c:v>
                </c:pt>
                <c:pt idx="6">
                  <c:v>1.5</c:v>
                </c:pt>
                <c:pt idx="7">
                  <c:v>1.7500000000000002</c:v>
                </c:pt>
                <c:pt idx="8">
                  <c:v>2</c:v>
                </c:pt>
                <c:pt idx="9">
                  <c:v>2.25</c:v>
                </c:pt>
                <c:pt idx="10">
                  <c:v>2.5</c:v>
                </c:pt>
                <c:pt idx="11">
                  <c:v>2.75</c:v>
                </c:pt>
                <c:pt idx="12">
                  <c:v>3</c:v>
                </c:pt>
                <c:pt idx="13">
                  <c:v>3.25</c:v>
                </c:pt>
                <c:pt idx="14">
                  <c:v>3.5000000000000004</c:v>
                </c:pt>
                <c:pt idx="15">
                  <c:v>3.75</c:v>
                </c:pt>
                <c:pt idx="16">
                  <c:v>4</c:v>
                </c:pt>
                <c:pt idx="17">
                  <c:v>4.25</c:v>
                </c:pt>
                <c:pt idx="18">
                  <c:v>4.5</c:v>
                </c:pt>
                <c:pt idx="19">
                  <c:v>4.75</c:v>
                </c:pt>
                <c:pt idx="20">
                  <c:v>5</c:v>
                </c:pt>
                <c:pt idx="21">
                  <c:v>5.25</c:v>
                </c:pt>
                <c:pt idx="22">
                  <c:v>5.5</c:v>
                </c:pt>
                <c:pt idx="23">
                  <c:v>5.75</c:v>
                </c:pt>
                <c:pt idx="24">
                  <c:v>6</c:v>
                </c:pt>
              </c:numCache>
            </c:numRef>
          </c:xVal>
          <c:yVal>
            <c:numRef>
              <c:f>TimeValue_1!$K$42:$K$66</c:f>
              <c:numCache>
                <c:formatCode>0.000</c:formatCode>
                <c:ptCount val="25"/>
                <c:pt idx="0">
                  <c:v>0.99942495532891373</c:v>
                </c:pt>
                <c:pt idx="1">
                  <c:v>0.97423551351790283</c:v>
                </c:pt>
                <c:pt idx="2">
                  <c:v>0.94949611349557217</c:v>
                </c:pt>
                <c:pt idx="3">
                  <c:v>0.92520477476956842</c:v>
                </c:pt>
                <c:pt idx="4">
                  <c:v>0.90135933084506414</c:v>
                </c:pt>
                <c:pt idx="5">
                  <c:v>0.87795743346191712</c:v>
                </c:pt>
                <c:pt idx="6">
                  <c:v>0.85499655701085975</c:v>
                </c:pt>
                <c:pt idx="7">
                  <c:v>0.83247400311716102</c:v>
                </c:pt>
                <c:pt idx="8">
                  <c:v>0.81038690538000235</c:v>
                </c:pt>
                <c:pt idx="9">
                  <c:v>0.78873223425581052</c:v>
                </c:pt>
                <c:pt idx="10">
                  <c:v>0.76750680207372002</c:v>
                </c:pt>
                <c:pt idx="11">
                  <c:v>0.74670726817141408</c:v>
                </c:pt>
                <c:pt idx="12">
                  <c:v>0.72633014413943919</c:v>
                </c:pt>
                <c:pt idx="13">
                  <c:v>0.70637179916236148</c:v>
                </c:pt>
                <c:pt idx="14">
                  <c:v>0.68682846544512333</c:v>
                </c:pt>
                <c:pt idx="15">
                  <c:v>0.66769624371302072</c:v>
                </c:pt>
                <c:pt idx="16">
                  <c:v>0.64897110877399122</c:v>
                </c:pt>
                <c:pt idx="17">
                  <c:v>0.6306489151319582</c:v>
                </c:pt>
                <c:pt idx="18">
                  <c:v>0.61272540264028574</c:v>
                </c:pt>
                <c:pt idx="19">
                  <c:v>0.59519620218450076</c:v>
                </c:pt>
                <c:pt idx="20">
                  <c:v>0.57805684138376989</c:v>
                </c:pt>
                <c:pt idx="21">
                  <c:v>0.56130275030082033</c:v>
                </c:pt>
                <c:pt idx="22">
                  <c:v>0.54492926715029244</c:v>
                </c:pt>
                <c:pt idx="23">
                  <c:v>0.52893164399585391</c:v>
                </c:pt>
                <c:pt idx="24">
                  <c:v>0.5133050524266124</c:v>
                </c:pt>
              </c:numCache>
            </c:numRef>
          </c:yVal>
          <c:smooth val="1"/>
          <c:extLst>
            <c:ext xmlns:c16="http://schemas.microsoft.com/office/drawing/2014/chart" uri="{C3380CC4-5D6E-409C-BE32-E72D297353CC}">
              <c16:uniqueId val="{00000002-94A6-4FD8-A408-4CDECD3F63BE}"/>
            </c:ext>
          </c:extLst>
        </c:ser>
        <c:ser>
          <c:idx val="0"/>
          <c:order val="3"/>
          <c:xVal>
            <c:numRef>
              <c:f>TimeValue_1!$C$42:$C$66</c:f>
              <c:numCache>
                <c:formatCode>0.00</c:formatCode>
                <c:ptCount val="25"/>
                <c:pt idx="0">
                  <c:v>0</c:v>
                </c:pt>
                <c:pt idx="1">
                  <c:v>0.25</c:v>
                </c:pt>
                <c:pt idx="2">
                  <c:v>0.5</c:v>
                </c:pt>
                <c:pt idx="3">
                  <c:v>0.75</c:v>
                </c:pt>
                <c:pt idx="4">
                  <c:v>1</c:v>
                </c:pt>
                <c:pt idx="5">
                  <c:v>1.25</c:v>
                </c:pt>
                <c:pt idx="6">
                  <c:v>1.5</c:v>
                </c:pt>
                <c:pt idx="7">
                  <c:v>1.7500000000000002</c:v>
                </c:pt>
                <c:pt idx="8">
                  <c:v>2</c:v>
                </c:pt>
                <c:pt idx="9">
                  <c:v>2.25</c:v>
                </c:pt>
                <c:pt idx="10">
                  <c:v>2.5</c:v>
                </c:pt>
                <c:pt idx="11">
                  <c:v>2.75</c:v>
                </c:pt>
                <c:pt idx="12">
                  <c:v>3</c:v>
                </c:pt>
                <c:pt idx="13">
                  <c:v>3.25</c:v>
                </c:pt>
                <c:pt idx="14">
                  <c:v>3.5000000000000004</c:v>
                </c:pt>
                <c:pt idx="15">
                  <c:v>3.75</c:v>
                </c:pt>
                <c:pt idx="16">
                  <c:v>4</c:v>
                </c:pt>
                <c:pt idx="17">
                  <c:v>4.25</c:v>
                </c:pt>
                <c:pt idx="18">
                  <c:v>4.5</c:v>
                </c:pt>
                <c:pt idx="19">
                  <c:v>4.75</c:v>
                </c:pt>
                <c:pt idx="20">
                  <c:v>5</c:v>
                </c:pt>
                <c:pt idx="21">
                  <c:v>5.25</c:v>
                </c:pt>
                <c:pt idx="22">
                  <c:v>5.5</c:v>
                </c:pt>
                <c:pt idx="23">
                  <c:v>5.75</c:v>
                </c:pt>
                <c:pt idx="24">
                  <c:v>6</c:v>
                </c:pt>
              </c:numCache>
            </c:numRef>
          </c:xVal>
          <c:yVal>
            <c:numRef>
              <c:f>TimeValue_1!$L$42:$L$66</c:f>
              <c:numCache>
                <c:formatCode>0.000</c:formatCode>
                <c:ptCount val="25"/>
                <c:pt idx="0">
                  <c:v>0.99913765620175177</c:v>
                </c:pt>
                <c:pt idx="1">
                  <c:v>0.97876551677416046</c:v>
                </c:pt>
                <c:pt idx="2">
                  <c:v>0.95869317265783527</c:v>
                </c:pt>
                <c:pt idx="3">
                  <c:v>0.93891937164905137</c:v>
                </c:pt>
                <c:pt idx="4">
                  <c:v>0.91944278117236544</c:v>
                </c:pt>
                <c:pt idx="5">
                  <c:v>0.90026199004563578</c:v>
                </c:pt>
                <c:pt idx="6">
                  <c:v>0.88137551028950756</c:v>
                </c:pt>
                <c:pt idx="7">
                  <c:v>0.86278177897821295</c:v>
                </c:pt>
                <c:pt idx="8">
                  <c:v>0.84447916012860402</c:v>
                </c:pt>
                <c:pt idx="9">
                  <c:v>0.82646594662439121</c:v>
                </c:pt>
                <c:pt idx="10">
                  <c:v>0.80874036217249545</c:v>
                </c:pt>
                <c:pt idx="11">
                  <c:v>0.79130056328850951</c:v>
                </c:pt>
                <c:pt idx="12">
                  <c:v>0.77414464130829408</c:v>
                </c:pt>
                <c:pt idx="13">
                  <c:v>0.75727062442270843</c:v>
                </c:pt>
                <c:pt idx="14">
                  <c:v>0.7406764797325498</c:v>
                </c:pt>
                <c:pt idx="15">
                  <c:v>0.72436011532088085</c:v>
                </c:pt>
                <c:pt idx="16">
                  <c:v>0.70831938233987168</c:v>
                </c:pt>
                <c:pt idx="17">
                  <c:v>0.69255207710929156</c:v>
                </c:pt>
                <c:pt idx="18">
                  <c:v>0.67705594322410756</c:v>
                </c:pt>
                <c:pt idx="19">
                  <c:v>0.66182867366832976</c:v>
                </c:pt>
                <c:pt idx="20">
                  <c:v>0.64686791293257595</c:v>
                </c:pt>
                <c:pt idx="21">
                  <c:v>0.63217125913281502</c:v>
                </c:pt>
                <c:pt idx="22">
                  <c:v>0.61773626612776344</c:v>
                </c:pt>
                <c:pt idx="23">
                  <c:v>0.60356044563253874</c:v>
                </c:pt>
                <c:pt idx="24">
                  <c:v>0.58964126932621452</c:v>
                </c:pt>
              </c:numCache>
            </c:numRef>
          </c:yVal>
          <c:smooth val="1"/>
          <c:extLst>
            <c:ext xmlns:c16="http://schemas.microsoft.com/office/drawing/2014/chart" uri="{C3380CC4-5D6E-409C-BE32-E72D297353CC}">
              <c16:uniqueId val="{00000003-94A6-4FD8-A408-4CDECD3F63BE}"/>
            </c:ext>
          </c:extLst>
        </c:ser>
        <c:ser>
          <c:idx val="4"/>
          <c:order val="4"/>
          <c:xVal>
            <c:numRef>
              <c:f>TimeValue_1!$C$42:$C$66</c:f>
              <c:numCache>
                <c:formatCode>0.00</c:formatCode>
                <c:ptCount val="25"/>
                <c:pt idx="0">
                  <c:v>0</c:v>
                </c:pt>
                <c:pt idx="1">
                  <c:v>0.25</c:v>
                </c:pt>
                <c:pt idx="2">
                  <c:v>0.5</c:v>
                </c:pt>
                <c:pt idx="3">
                  <c:v>0.75</c:v>
                </c:pt>
                <c:pt idx="4">
                  <c:v>1</c:v>
                </c:pt>
                <c:pt idx="5">
                  <c:v>1.25</c:v>
                </c:pt>
                <c:pt idx="6">
                  <c:v>1.5</c:v>
                </c:pt>
                <c:pt idx="7">
                  <c:v>1.7500000000000002</c:v>
                </c:pt>
                <c:pt idx="8">
                  <c:v>2</c:v>
                </c:pt>
                <c:pt idx="9">
                  <c:v>2.25</c:v>
                </c:pt>
                <c:pt idx="10">
                  <c:v>2.5</c:v>
                </c:pt>
                <c:pt idx="11">
                  <c:v>2.75</c:v>
                </c:pt>
                <c:pt idx="12">
                  <c:v>3</c:v>
                </c:pt>
                <c:pt idx="13">
                  <c:v>3.25</c:v>
                </c:pt>
                <c:pt idx="14">
                  <c:v>3.5000000000000004</c:v>
                </c:pt>
                <c:pt idx="15">
                  <c:v>3.75</c:v>
                </c:pt>
                <c:pt idx="16">
                  <c:v>4</c:v>
                </c:pt>
                <c:pt idx="17">
                  <c:v>4.25</c:v>
                </c:pt>
                <c:pt idx="18">
                  <c:v>4.5</c:v>
                </c:pt>
                <c:pt idx="19">
                  <c:v>4.75</c:v>
                </c:pt>
                <c:pt idx="20">
                  <c:v>5</c:v>
                </c:pt>
                <c:pt idx="21">
                  <c:v>5.25</c:v>
                </c:pt>
                <c:pt idx="22">
                  <c:v>5.5</c:v>
                </c:pt>
                <c:pt idx="23">
                  <c:v>5.75</c:v>
                </c:pt>
                <c:pt idx="24">
                  <c:v>6</c:v>
                </c:pt>
              </c:numCache>
            </c:numRef>
          </c:xVal>
          <c:yVal>
            <c:numRef>
              <c:f>TimeValue_1!$M$42:$M$66</c:f>
              <c:numCache>
                <c:formatCode>0.000</c:formatCode>
                <c:ptCount val="25"/>
                <c:pt idx="0">
                  <c:v>0.99885050575792833</c:v>
                </c:pt>
                <c:pt idx="1">
                  <c:v>0.98135714585083189</c:v>
                </c:pt>
                <c:pt idx="2">
                  <c:v>0.96408844830850482</c:v>
                </c:pt>
                <c:pt idx="3">
                  <c:v>0.94704349989470005</c:v>
                </c:pt>
                <c:pt idx="4">
                  <c:v>0.93022134347753882</c:v>
                </c:pt>
                <c:pt idx="5">
                  <c:v>0.91362097898309991</c:v>
                </c:pt>
                <c:pt idx="6">
                  <c:v>0.89724136436411106</c:v>
                </c:pt>
                <c:pt idx="7">
                  <c:v>0.88108141658255956</c:v>
                </c:pt>
                <c:pt idx="8">
                  <c:v>0.86514001260502393</c:v>
                </c:pt>
                <c:pt idx="9">
                  <c:v>0.84941599040956306</c:v>
                </c:pt>
                <c:pt idx="10">
                  <c:v>0.83390815000301077</c:v>
                </c:pt>
                <c:pt idx="11">
                  <c:v>0.81861525444752359</c:v>
                </c:pt>
                <c:pt idx="12">
                  <c:v>0.80353603089524372</c:v>
                </c:pt>
                <c:pt idx="13">
                  <c:v>0.7886691716299945</c:v>
                </c:pt>
                <c:pt idx="14">
                  <c:v>0.77401333511489778</c:v>
                </c:pt>
                <c:pt idx="15">
                  <c:v>0.75956714704484662</c:v>
                </c:pt>
                <c:pt idx="16">
                  <c:v>0.74532920140280279</c:v>
                </c:pt>
                <c:pt idx="17">
                  <c:v>0.73129806151881971</c:v>
                </c:pt>
                <c:pt idx="18">
                  <c:v>0.71747226113090112</c:v>
                </c:pt>
                <c:pt idx="19">
                  <c:v>0.70385030544659077</c:v>
                </c:pt>
                <c:pt idx="20">
                  <c:v>0.69043067220441035</c:v>
                </c:pt>
                <c:pt idx="21">
                  <c:v>0.67721181273416886</c:v>
                </c:pt>
                <c:pt idx="22">
                  <c:v>0.66419215301527124</c:v>
                </c:pt>
                <c:pt idx="23">
                  <c:v>0.65137009473207952</c:v>
                </c:pt>
                <c:pt idx="24">
                  <c:v>0.63874401632552946</c:v>
                </c:pt>
              </c:numCache>
            </c:numRef>
          </c:yVal>
          <c:smooth val="1"/>
          <c:extLst>
            <c:ext xmlns:c16="http://schemas.microsoft.com/office/drawing/2014/chart" uri="{C3380CC4-5D6E-409C-BE32-E72D297353CC}">
              <c16:uniqueId val="{00000004-94A6-4FD8-A408-4CDECD3F63BE}"/>
            </c:ext>
          </c:extLst>
        </c:ser>
        <c:ser>
          <c:idx val="5"/>
          <c:order val="5"/>
          <c:xVal>
            <c:numRef>
              <c:f>TimeValue_1!$C$42:$C$66</c:f>
              <c:numCache>
                <c:formatCode>0.00</c:formatCode>
                <c:ptCount val="25"/>
                <c:pt idx="0">
                  <c:v>0</c:v>
                </c:pt>
                <c:pt idx="1">
                  <c:v>0.25</c:v>
                </c:pt>
                <c:pt idx="2">
                  <c:v>0.5</c:v>
                </c:pt>
                <c:pt idx="3">
                  <c:v>0.75</c:v>
                </c:pt>
                <c:pt idx="4">
                  <c:v>1</c:v>
                </c:pt>
                <c:pt idx="5">
                  <c:v>1.25</c:v>
                </c:pt>
                <c:pt idx="6">
                  <c:v>1.5</c:v>
                </c:pt>
                <c:pt idx="7">
                  <c:v>1.7500000000000002</c:v>
                </c:pt>
                <c:pt idx="8">
                  <c:v>2</c:v>
                </c:pt>
                <c:pt idx="9">
                  <c:v>2.25</c:v>
                </c:pt>
                <c:pt idx="10">
                  <c:v>2.5</c:v>
                </c:pt>
                <c:pt idx="11">
                  <c:v>2.75</c:v>
                </c:pt>
                <c:pt idx="12">
                  <c:v>3</c:v>
                </c:pt>
                <c:pt idx="13">
                  <c:v>3.25</c:v>
                </c:pt>
                <c:pt idx="14">
                  <c:v>3.5000000000000004</c:v>
                </c:pt>
                <c:pt idx="15">
                  <c:v>3.75</c:v>
                </c:pt>
                <c:pt idx="16">
                  <c:v>4</c:v>
                </c:pt>
                <c:pt idx="17">
                  <c:v>4.25</c:v>
                </c:pt>
                <c:pt idx="18">
                  <c:v>4.5</c:v>
                </c:pt>
                <c:pt idx="19">
                  <c:v>4.75</c:v>
                </c:pt>
                <c:pt idx="20">
                  <c:v>5</c:v>
                </c:pt>
                <c:pt idx="21">
                  <c:v>5.25</c:v>
                </c:pt>
                <c:pt idx="22">
                  <c:v>5.5</c:v>
                </c:pt>
                <c:pt idx="23">
                  <c:v>5.75</c:v>
                </c:pt>
                <c:pt idx="24">
                  <c:v>6</c:v>
                </c:pt>
              </c:numCache>
            </c:numRef>
          </c:xVal>
          <c:yVal>
            <c:numRef>
              <c:f>TimeValue_1!$N$42:$N$66</c:f>
              <c:numCache>
                <c:formatCode>0.000</c:formatCode>
                <c:ptCount val="25"/>
                <c:pt idx="0">
                  <c:v>0.99856350390583537</c:v>
                </c:pt>
                <c:pt idx="1">
                  <c:v>0.98303771051404654</c:v>
                </c:pt>
                <c:pt idx="2">
                  <c:v>0.96769149669253829</c:v>
                </c:pt>
                <c:pt idx="3">
                  <c:v>0.95252414452539291</c:v>
                </c:pt>
                <c:pt idx="4">
                  <c:v>0.93753490884885549</c:v>
                </c:pt>
                <c:pt idx="5">
                  <c:v>0.92272301784349753</c:v>
                </c:pt>
                <c:pt idx="6">
                  <c:v>0.90808767363226484</c:v>
                </c:pt>
                <c:pt idx="7">
                  <c:v>0.89362805288385949</c:v>
                </c:pt>
                <c:pt idx="8">
                  <c:v>0.87934330742091804</c:v>
                </c:pt>
                <c:pt idx="9">
                  <c:v>0.86523256483238964</c:v>
                </c:pt>
                <c:pt idx="10">
                  <c:v>0.85129492908961757</c:v>
                </c:pt>
                <c:pt idx="11">
                  <c:v>0.83752948116557036</c:v>
                </c:pt>
                <c:pt idx="12">
                  <c:v>0.82393527965671265</c:v>
                </c:pt>
                <c:pt idx="13">
                  <c:v>0.81051136140697833</c:v>
                </c:pt>
                <c:pt idx="14">
                  <c:v>0.79725674213336295</c:v>
                </c:pt>
                <c:pt idx="15">
                  <c:v>0.78417041705266521</c:v>
                </c:pt>
                <c:pt idx="16">
                  <c:v>0.77125136150883156</c:v>
                </c:pt>
                <c:pt idx="17">
                  <c:v>0.75849853160051073</c:v>
                </c:pt>
                <c:pt idx="18">
                  <c:v>0.74591086480828517</c:v>
                </c:pt>
                <c:pt idx="19">
                  <c:v>0.73348728062119917</c:v>
                </c:pt>
                <c:pt idx="20">
                  <c:v>0.72122668116208299</c:v>
                </c:pt>
                <c:pt idx="21">
                  <c:v>0.70912795181131238</c:v>
                </c:pt>
                <c:pt idx="22">
                  <c:v>0.69718996182852877</c:v>
                </c:pt>
                <c:pt idx="23">
                  <c:v>0.68541156497195344</c:v>
                </c:pt>
                <c:pt idx="24">
                  <c:v>0.67379160011492445</c:v>
                </c:pt>
              </c:numCache>
            </c:numRef>
          </c:yVal>
          <c:smooth val="1"/>
          <c:extLst>
            <c:ext xmlns:c16="http://schemas.microsoft.com/office/drawing/2014/chart" uri="{C3380CC4-5D6E-409C-BE32-E72D297353CC}">
              <c16:uniqueId val="{00000005-94A6-4FD8-A408-4CDECD3F63BE}"/>
            </c:ext>
          </c:extLst>
        </c:ser>
        <c:ser>
          <c:idx val="6"/>
          <c:order val="6"/>
          <c:xVal>
            <c:numRef>
              <c:f>TimeValue_1!$C$42:$C$66</c:f>
              <c:numCache>
                <c:formatCode>0.00</c:formatCode>
                <c:ptCount val="25"/>
                <c:pt idx="0">
                  <c:v>0</c:v>
                </c:pt>
                <c:pt idx="1">
                  <c:v>0.25</c:v>
                </c:pt>
                <c:pt idx="2">
                  <c:v>0.5</c:v>
                </c:pt>
                <c:pt idx="3">
                  <c:v>0.75</c:v>
                </c:pt>
                <c:pt idx="4">
                  <c:v>1</c:v>
                </c:pt>
                <c:pt idx="5">
                  <c:v>1.25</c:v>
                </c:pt>
                <c:pt idx="6">
                  <c:v>1.5</c:v>
                </c:pt>
                <c:pt idx="7">
                  <c:v>1.7500000000000002</c:v>
                </c:pt>
                <c:pt idx="8">
                  <c:v>2</c:v>
                </c:pt>
                <c:pt idx="9">
                  <c:v>2.25</c:v>
                </c:pt>
                <c:pt idx="10">
                  <c:v>2.5</c:v>
                </c:pt>
                <c:pt idx="11">
                  <c:v>2.75</c:v>
                </c:pt>
                <c:pt idx="12">
                  <c:v>3</c:v>
                </c:pt>
                <c:pt idx="13">
                  <c:v>3.25</c:v>
                </c:pt>
                <c:pt idx="14">
                  <c:v>3.5000000000000004</c:v>
                </c:pt>
                <c:pt idx="15">
                  <c:v>3.75</c:v>
                </c:pt>
                <c:pt idx="16">
                  <c:v>4</c:v>
                </c:pt>
                <c:pt idx="17">
                  <c:v>4.25</c:v>
                </c:pt>
                <c:pt idx="18">
                  <c:v>4.5</c:v>
                </c:pt>
                <c:pt idx="19">
                  <c:v>4.75</c:v>
                </c:pt>
                <c:pt idx="20">
                  <c:v>5</c:v>
                </c:pt>
                <c:pt idx="21">
                  <c:v>5.25</c:v>
                </c:pt>
                <c:pt idx="22">
                  <c:v>5.5</c:v>
                </c:pt>
                <c:pt idx="23">
                  <c:v>5.75</c:v>
                </c:pt>
                <c:pt idx="24">
                  <c:v>6</c:v>
                </c:pt>
              </c:numCache>
            </c:numRef>
          </c:xVal>
          <c:yVal>
            <c:numRef>
              <c:f>TimeValue_1!$O$42:$O$66</c:f>
              <c:numCache>
                <c:formatCode>0.000</c:formatCode>
                <c:ptCount val="25"/>
                <c:pt idx="0">
                  <c:v>0.998276650553928</c:v>
                </c:pt>
                <c:pt idx="1">
                  <c:v>0.98420477676301321</c:v>
                </c:pt>
                <c:pt idx="2">
                  <c:v>0.97028242614057492</c:v>
                </c:pt>
                <c:pt idx="3">
                  <c:v>0.95650900762488134</c:v>
                </c:pt>
                <c:pt idx="4">
                  <c:v>0.94288391182030962</c:v>
                </c:pt>
                <c:pt idx="5">
                  <c:v>0.92940651139838204</c:v>
                </c:pt>
                <c:pt idx="6">
                  <c:v>0.9160761615012053</c:v>
                </c:pt>
                <c:pt idx="7">
                  <c:v>0.90289220014692995</c:v>
                </c:pt>
                <c:pt idx="8">
                  <c:v>0.88985394863702916</c:v>
                </c:pt>
                <c:pt idx="9">
                  <c:v>0.87696071196500924</c:v>
                </c:pt>
                <c:pt idx="10">
                  <c:v>0.86421177922633119</c:v>
                </c:pt>
                <c:pt idx="11">
                  <c:v>0.85160642402924336</c:v>
                </c:pt>
                <c:pt idx="12">
                  <c:v>0.83914390490622892</c:v>
                </c:pt>
                <c:pt idx="13">
                  <c:v>0.82682346572583632</c:v>
                </c:pt>
                <c:pt idx="14">
                  <c:v>0.81464433610458287</c:v>
                </c:pt>
                <c:pt idx="15">
                  <c:v>0.80260573181873196</c:v>
                </c:pt>
                <c:pt idx="16">
                  <c:v>0.79070685521562345</c:v>
                </c:pt>
                <c:pt idx="17">
                  <c:v>0.77894689562437924</c:v>
                </c:pt>
                <c:pt idx="18">
                  <c:v>0.7673250297656955</c:v>
                </c:pt>
                <c:pt idx="19">
                  <c:v>0.75584042216051794</c:v>
                </c:pt>
                <c:pt idx="20">
                  <c:v>0.74449222553735772</c:v>
                </c:pt>
                <c:pt idx="21">
                  <c:v>0.73327958123802961</c:v>
                </c:pt>
                <c:pt idx="22">
                  <c:v>0.72220161962161977</c:v>
                </c:pt>
                <c:pt idx="23">
                  <c:v>0.71125746046644711</c:v>
                </c:pt>
                <c:pt idx="24">
                  <c:v>0.70044621336983282</c:v>
                </c:pt>
              </c:numCache>
            </c:numRef>
          </c:yVal>
          <c:smooth val="1"/>
          <c:extLst>
            <c:ext xmlns:c16="http://schemas.microsoft.com/office/drawing/2014/chart" uri="{C3380CC4-5D6E-409C-BE32-E72D297353CC}">
              <c16:uniqueId val="{00000006-94A6-4FD8-A408-4CDECD3F63BE}"/>
            </c:ext>
          </c:extLst>
        </c:ser>
        <c:ser>
          <c:idx val="7"/>
          <c:order val="7"/>
          <c:trendline>
            <c:trendlineType val="exp"/>
            <c:intercept val="1"/>
            <c:dispRSqr val="1"/>
            <c:dispEq val="1"/>
            <c:trendlineLbl>
              <c:layout>
                <c:manualLayout>
                  <c:x val="0.16460039370078741"/>
                  <c:y val="1.0152376786235055E-3"/>
                </c:manualLayout>
              </c:layout>
              <c:numFmt formatCode="General" sourceLinked="0"/>
            </c:trendlineLbl>
          </c:trendline>
          <c:xVal>
            <c:numRef>
              <c:f>TimeValue_1!$C$42:$C$66</c:f>
              <c:numCache>
                <c:formatCode>0.00</c:formatCode>
                <c:ptCount val="25"/>
                <c:pt idx="0">
                  <c:v>0</c:v>
                </c:pt>
                <c:pt idx="1">
                  <c:v>0.25</c:v>
                </c:pt>
                <c:pt idx="2">
                  <c:v>0.5</c:v>
                </c:pt>
                <c:pt idx="3">
                  <c:v>0.75</c:v>
                </c:pt>
                <c:pt idx="4">
                  <c:v>1</c:v>
                </c:pt>
                <c:pt idx="5">
                  <c:v>1.25</c:v>
                </c:pt>
                <c:pt idx="6">
                  <c:v>1.5</c:v>
                </c:pt>
                <c:pt idx="7">
                  <c:v>1.7500000000000002</c:v>
                </c:pt>
                <c:pt idx="8">
                  <c:v>2</c:v>
                </c:pt>
                <c:pt idx="9">
                  <c:v>2.25</c:v>
                </c:pt>
                <c:pt idx="10">
                  <c:v>2.5</c:v>
                </c:pt>
                <c:pt idx="11">
                  <c:v>2.75</c:v>
                </c:pt>
                <c:pt idx="12">
                  <c:v>3</c:v>
                </c:pt>
                <c:pt idx="13">
                  <c:v>3.25</c:v>
                </c:pt>
                <c:pt idx="14">
                  <c:v>3.5000000000000004</c:v>
                </c:pt>
                <c:pt idx="15">
                  <c:v>3.75</c:v>
                </c:pt>
                <c:pt idx="16">
                  <c:v>4</c:v>
                </c:pt>
                <c:pt idx="17">
                  <c:v>4.25</c:v>
                </c:pt>
                <c:pt idx="18">
                  <c:v>4.5</c:v>
                </c:pt>
                <c:pt idx="19">
                  <c:v>4.75</c:v>
                </c:pt>
                <c:pt idx="20">
                  <c:v>5</c:v>
                </c:pt>
                <c:pt idx="21">
                  <c:v>5.25</c:v>
                </c:pt>
                <c:pt idx="22">
                  <c:v>5.5</c:v>
                </c:pt>
                <c:pt idx="23">
                  <c:v>5.75</c:v>
                </c:pt>
                <c:pt idx="24">
                  <c:v>6</c:v>
                </c:pt>
              </c:numCache>
            </c:numRef>
          </c:xVal>
          <c:yVal>
            <c:numRef>
              <c:f>TimeValue_1!$P$42:$P$66</c:f>
              <c:numCache>
                <c:formatCode>0.000</c:formatCode>
                <c:ptCount val="25"/>
                <c:pt idx="0">
                  <c:v>0.99631364928497568</c:v>
                </c:pt>
                <c:pt idx="1">
                  <c:v>0.98707724957504339</c:v>
                </c:pt>
                <c:pt idx="2">
                  <c:v>0.97791021887546326</c:v>
                </c:pt>
                <c:pt idx="3">
                  <c:v>0.96881229125685253</c:v>
                </c:pt>
                <c:pt idx="4">
                  <c:v>0.95978319767354636</c:v>
                </c:pt>
                <c:pt idx="5">
                  <c:v>0.95082266604022614</c:v>
                </c:pt>
                <c:pt idx="6">
                  <c:v>0.94193042130812321</c:v>
                </c:pt>
                <c:pt idx="7">
                  <c:v>0.93310618554074742</c:v>
                </c:pt>
                <c:pt idx="8">
                  <c:v>0.92434967798917889</c:v>
                </c:pt>
                <c:pt idx="9">
                  <c:v>0.91566061516685282</c:v>
                </c:pt>
                <c:pt idx="10">
                  <c:v>0.90703871092385435</c:v>
                </c:pt>
                <c:pt idx="11">
                  <c:v>0.89848367652070127</c:v>
                </c:pt>
                <c:pt idx="12">
                  <c:v>0.88999522070159687</c:v>
                </c:pt>
                <c:pt idx="13">
                  <c:v>0.88157304976714712</c:v>
                </c:pt>
                <c:pt idx="14">
                  <c:v>0.87321686764652096</c:v>
                </c:pt>
                <c:pt idx="15">
                  <c:v>0.86492637596904287</c:v>
                </c:pt>
                <c:pt idx="16">
                  <c:v>0.8567012741352189</c:v>
                </c:pt>
                <c:pt idx="17">
                  <c:v>0.84854125938716052</c:v>
                </c:pt>
                <c:pt idx="18">
                  <c:v>0.84044602687841907</c:v>
                </c:pt>
                <c:pt idx="19">
                  <c:v>0.83241526974321078</c:v>
                </c:pt>
                <c:pt idx="20">
                  <c:v>0.82444867916501174</c:v>
                </c:pt>
                <c:pt idx="21">
                  <c:v>0.81654594444453799</c:v>
                </c:pt>
                <c:pt idx="22">
                  <c:v>0.80870675306707607</c:v>
                </c:pt>
                <c:pt idx="23">
                  <c:v>0.80093079076917373</c:v>
                </c:pt>
                <c:pt idx="24">
                  <c:v>0.7932177416046855</c:v>
                </c:pt>
              </c:numCache>
            </c:numRef>
          </c:yVal>
          <c:smooth val="1"/>
          <c:extLst>
            <c:ext xmlns:c16="http://schemas.microsoft.com/office/drawing/2014/chart" uri="{C3380CC4-5D6E-409C-BE32-E72D297353CC}">
              <c16:uniqueId val="{00000007-94A6-4FD8-A408-4CDECD3F63BE}"/>
            </c:ext>
          </c:extLst>
        </c:ser>
        <c:ser>
          <c:idx val="8"/>
          <c:order val="8"/>
          <c:xVal>
            <c:numRef>
              <c:f>TimeValue_1!$C$42:$C$66</c:f>
              <c:numCache>
                <c:formatCode>0.00</c:formatCode>
                <c:ptCount val="25"/>
                <c:pt idx="0">
                  <c:v>0</c:v>
                </c:pt>
                <c:pt idx="1">
                  <c:v>0.25</c:v>
                </c:pt>
                <c:pt idx="2">
                  <c:v>0.5</c:v>
                </c:pt>
                <c:pt idx="3">
                  <c:v>0.75</c:v>
                </c:pt>
                <c:pt idx="4">
                  <c:v>1</c:v>
                </c:pt>
                <c:pt idx="5">
                  <c:v>1.25</c:v>
                </c:pt>
                <c:pt idx="6">
                  <c:v>1.5</c:v>
                </c:pt>
                <c:pt idx="7">
                  <c:v>1.7500000000000002</c:v>
                </c:pt>
                <c:pt idx="8">
                  <c:v>2</c:v>
                </c:pt>
                <c:pt idx="9">
                  <c:v>2.25</c:v>
                </c:pt>
                <c:pt idx="10">
                  <c:v>2.5</c:v>
                </c:pt>
                <c:pt idx="11">
                  <c:v>2.75</c:v>
                </c:pt>
                <c:pt idx="12">
                  <c:v>3</c:v>
                </c:pt>
                <c:pt idx="13">
                  <c:v>3.25</c:v>
                </c:pt>
                <c:pt idx="14">
                  <c:v>3.5000000000000004</c:v>
                </c:pt>
                <c:pt idx="15">
                  <c:v>3.75</c:v>
                </c:pt>
                <c:pt idx="16">
                  <c:v>4</c:v>
                </c:pt>
                <c:pt idx="17">
                  <c:v>4.25</c:v>
                </c:pt>
                <c:pt idx="18">
                  <c:v>4.5</c:v>
                </c:pt>
                <c:pt idx="19">
                  <c:v>4.75</c:v>
                </c:pt>
                <c:pt idx="20">
                  <c:v>5</c:v>
                </c:pt>
                <c:pt idx="21">
                  <c:v>5.25</c:v>
                </c:pt>
                <c:pt idx="22">
                  <c:v>5.5</c:v>
                </c:pt>
                <c:pt idx="23">
                  <c:v>5.75</c:v>
                </c:pt>
                <c:pt idx="24">
                  <c:v>6</c:v>
                </c:pt>
              </c:numCache>
            </c:numRef>
          </c:xVal>
          <c:yVal>
            <c:numRef>
              <c:f>TimeValue_1!$Q$42:$Q$66</c:f>
              <c:numCache>
                <c:formatCode>0.000</c:formatCode>
                <c:ptCount val="25"/>
                <c:pt idx="0">
                  <c:v>0.99265172814648939</c:v>
                </c:pt>
                <c:pt idx="1">
                  <c:v>0.98647340337729239</c:v>
                </c:pt>
                <c:pt idx="2">
                  <c:v>0.98032938108649503</c:v>
                </c:pt>
                <c:pt idx="3">
                  <c:v>0.97421953156644003</c:v>
                </c:pt>
                <c:pt idx="4">
                  <c:v>0.96814372473525445</c:v>
                </c:pt>
                <c:pt idx="5">
                  <c:v>0.96210183015205331</c:v>
                </c:pt>
                <c:pt idx="6">
                  <c:v>0.95609371703197721</c:v>
                </c:pt>
                <c:pt idx="7">
                  <c:v>0.95011925426103216</c:v>
                </c:pt>
                <c:pt idx="8">
                  <c:v>0.94417831041076949</c:v>
                </c:pt>
                <c:pt idx="9">
                  <c:v>0.93827075375276892</c:v>
                </c:pt>
                <c:pt idx="10">
                  <c:v>0.93239645227295209</c:v>
                </c:pt>
                <c:pt idx="11">
                  <c:v>0.92655527368571711</c:v>
                </c:pt>
                <c:pt idx="12">
                  <c:v>0.92074708544789008</c:v>
                </c:pt>
                <c:pt idx="13">
                  <c:v>0.91497175477250836</c:v>
                </c:pt>
                <c:pt idx="14">
                  <c:v>0.90922914864242055</c:v>
                </c:pt>
                <c:pt idx="15">
                  <c:v>0.90351913382371718</c:v>
                </c:pt>
                <c:pt idx="16">
                  <c:v>0.89784157687898247</c:v>
                </c:pt>
                <c:pt idx="17">
                  <c:v>0.89219634418037552</c:v>
                </c:pt>
                <c:pt idx="18">
                  <c:v>0.88658330192253487</c:v>
                </c:pt>
                <c:pt idx="19">
                  <c:v>0.88100231613531976</c:v>
                </c:pt>
                <c:pt idx="20">
                  <c:v>0.87545325269637031</c:v>
                </c:pt>
                <c:pt idx="21">
                  <c:v>0.86993597734350614</c:v>
                </c:pt>
                <c:pt idx="22">
                  <c:v>0.86445035568695028</c:v>
                </c:pt>
                <c:pt idx="23">
                  <c:v>0.85899625322138784</c:v>
                </c:pt>
                <c:pt idx="24">
                  <c:v>0.8535735353378594</c:v>
                </c:pt>
              </c:numCache>
            </c:numRef>
          </c:yVal>
          <c:smooth val="1"/>
          <c:extLst>
            <c:ext xmlns:c16="http://schemas.microsoft.com/office/drawing/2014/chart" uri="{C3380CC4-5D6E-409C-BE32-E72D297353CC}">
              <c16:uniqueId val="{00000008-94A6-4FD8-A408-4CDECD3F63BE}"/>
            </c:ext>
          </c:extLst>
        </c:ser>
        <c:ser>
          <c:idx val="9"/>
          <c:order val="9"/>
          <c:xVal>
            <c:numRef>
              <c:f>TimeValue_1!$C$42:$C$66</c:f>
              <c:numCache>
                <c:formatCode>0.00</c:formatCode>
                <c:ptCount val="25"/>
                <c:pt idx="0">
                  <c:v>0</c:v>
                </c:pt>
                <c:pt idx="1">
                  <c:v>0.25</c:v>
                </c:pt>
                <c:pt idx="2">
                  <c:v>0.5</c:v>
                </c:pt>
                <c:pt idx="3">
                  <c:v>0.75</c:v>
                </c:pt>
                <c:pt idx="4">
                  <c:v>1</c:v>
                </c:pt>
                <c:pt idx="5">
                  <c:v>1.25</c:v>
                </c:pt>
                <c:pt idx="6">
                  <c:v>1.5</c:v>
                </c:pt>
                <c:pt idx="7">
                  <c:v>1.7500000000000002</c:v>
                </c:pt>
                <c:pt idx="8">
                  <c:v>2</c:v>
                </c:pt>
                <c:pt idx="9">
                  <c:v>2.25</c:v>
                </c:pt>
                <c:pt idx="10">
                  <c:v>2.5</c:v>
                </c:pt>
                <c:pt idx="11">
                  <c:v>2.75</c:v>
                </c:pt>
                <c:pt idx="12">
                  <c:v>3</c:v>
                </c:pt>
                <c:pt idx="13">
                  <c:v>3.25</c:v>
                </c:pt>
                <c:pt idx="14">
                  <c:v>3.5000000000000004</c:v>
                </c:pt>
                <c:pt idx="15">
                  <c:v>3.75</c:v>
                </c:pt>
                <c:pt idx="16">
                  <c:v>4</c:v>
                </c:pt>
                <c:pt idx="17">
                  <c:v>4.25</c:v>
                </c:pt>
                <c:pt idx="18">
                  <c:v>4.5</c:v>
                </c:pt>
                <c:pt idx="19">
                  <c:v>4.75</c:v>
                </c:pt>
                <c:pt idx="20">
                  <c:v>5</c:v>
                </c:pt>
                <c:pt idx="21">
                  <c:v>5.25</c:v>
                </c:pt>
                <c:pt idx="22">
                  <c:v>5.5</c:v>
                </c:pt>
                <c:pt idx="23">
                  <c:v>5.75</c:v>
                </c:pt>
                <c:pt idx="24">
                  <c:v>6</c:v>
                </c:pt>
              </c:numCache>
            </c:numRef>
          </c:xVal>
          <c:yVal>
            <c:numRef>
              <c:f>TimeValue_1!$R$42:$R$66</c:f>
              <c:numCache>
                <c:formatCode>0.000</c:formatCode>
                <c:ptCount val="25"/>
                <c:pt idx="0">
                  <c:v>0.98901404393297065</c:v>
                </c:pt>
                <c:pt idx="1">
                  <c:v>0.9841899068009361</c:v>
                </c:pt>
                <c:pt idx="2">
                  <c:v>0.97938838580019227</c:v>
                </c:pt>
                <c:pt idx="3">
                  <c:v>0.97460939580652539</c:v>
                </c:pt>
                <c:pt idx="4">
                  <c:v>0.96985285170548607</c:v>
                </c:pt>
                <c:pt idx="5">
                  <c:v>0.96511866839752014</c:v>
                </c:pt>
                <c:pt idx="6">
                  <c:v>0.96040676080302256</c:v>
                </c:pt>
                <c:pt idx="7">
                  <c:v>0.9557170438673146</c:v>
                </c:pt>
                <c:pt idx="8">
                  <c:v>0.95104943256553742</c:v>
                </c:pt>
                <c:pt idx="9">
                  <c:v>0.94640384190747684</c:v>
                </c:pt>
                <c:pt idx="10">
                  <c:v>0.94178018694230103</c:v>
                </c:pt>
                <c:pt idx="11">
                  <c:v>0.93717838276323606</c:v>
                </c:pt>
                <c:pt idx="12">
                  <c:v>0.93259834451215462</c:v>
                </c:pt>
                <c:pt idx="13">
                  <c:v>0.92803998738409943</c:v>
                </c:pt>
                <c:pt idx="14">
                  <c:v>0.92350322663172524</c:v>
                </c:pt>
                <c:pt idx="15">
                  <c:v>0.91898797756967743</c:v>
                </c:pt>
                <c:pt idx="16">
                  <c:v>0.9144941555788918</c:v>
                </c:pt>
                <c:pt idx="17">
                  <c:v>0.91002167611082718</c:v>
                </c:pt>
                <c:pt idx="18">
                  <c:v>0.90557045469162323</c:v>
                </c:pt>
                <c:pt idx="19">
                  <c:v>0.90114040692619901</c:v>
                </c:pt>
                <c:pt idx="20">
                  <c:v>0.89673144850226716</c:v>
                </c:pt>
                <c:pt idx="21">
                  <c:v>0.89234349519429457</c:v>
                </c:pt>
                <c:pt idx="22">
                  <c:v>0.88797646286738596</c:v>
                </c:pt>
                <c:pt idx="23">
                  <c:v>0.88363026748110862</c:v>
                </c:pt>
                <c:pt idx="24">
                  <c:v>0.87930482509324215</c:v>
                </c:pt>
              </c:numCache>
            </c:numRef>
          </c:yVal>
          <c:smooth val="1"/>
          <c:extLst>
            <c:ext xmlns:c16="http://schemas.microsoft.com/office/drawing/2014/chart" uri="{C3380CC4-5D6E-409C-BE32-E72D297353CC}">
              <c16:uniqueId val="{00000009-94A6-4FD8-A408-4CDECD3F63BE}"/>
            </c:ext>
          </c:extLst>
        </c:ser>
        <c:ser>
          <c:idx val="10"/>
          <c:order val="10"/>
          <c:xVal>
            <c:numRef>
              <c:f>TimeValue_1!$C$42:$C$66</c:f>
              <c:numCache>
                <c:formatCode>0.00</c:formatCode>
                <c:ptCount val="25"/>
                <c:pt idx="0">
                  <c:v>0</c:v>
                </c:pt>
                <c:pt idx="1">
                  <c:v>0.25</c:v>
                </c:pt>
                <c:pt idx="2">
                  <c:v>0.5</c:v>
                </c:pt>
                <c:pt idx="3">
                  <c:v>0.75</c:v>
                </c:pt>
                <c:pt idx="4">
                  <c:v>1</c:v>
                </c:pt>
                <c:pt idx="5">
                  <c:v>1.25</c:v>
                </c:pt>
                <c:pt idx="6">
                  <c:v>1.5</c:v>
                </c:pt>
                <c:pt idx="7">
                  <c:v>1.7500000000000002</c:v>
                </c:pt>
                <c:pt idx="8">
                  <c:v>2</c:v>
                </c:pt>
                <c:pt idx="9">
                  <c:v>2.25</c:v>
                </c:pt>
                <c:pt idx="10">
                  <c:v>2.5</c:v>
                </c:pt>
                <c:pt idx="11">
                  <c:v>2.75</c:v>
                </c:pt>
                <c:pt idx="12">
                  <c:v>3</c:v>
                </c:pt>
                <c:pt idx="13">
                  <c:v>3.25</c:v>
                </c:pt>
                <c:pt idx="14">
                  <c:v>3.5000000000000004</c:v>
                </c:pt>
                <c:pt idx="15">
                  <c:v>3.75</c:v>
                </c:pt>
                <c:pt idx="16">
                  <c:v>4</c:v>
                </c:pt>
                <c:pt idx="17">
                  <c:v>4.25</c:v>
                </c:pt>
                <c:pt idx="18">
                  <c:v>4.5</c:v>
                </c:pt>
                <c:pt idx="19">
                  <c:v>4.75</c:v>
                </c:pt>
                <c:pt idx="20">
                  <c:v>5</c:v>
                </c:pt>
                <c:pt idx="21">
                  <c:v>5.25</c:v>
                </c:pt>
                <c:pt idx="22">
                  <c:v>5.5</c:v>
                </c:pt>
                <c:pt idx="23">
                  <c:v>5.75</c:v>
                </c:pt>
                <c:pt idx="24">
                  <c:v>6</c:v>
                </c:pt>
              </c:numCache>
            </c:numRef>
          </c:xVal>
          <c:yVal>
            <c:numRef>
              <c:f>TimeValue_1!$S$42:$S$66</c:f>
              <c:numCache>
                <c:formatCode>0.000</c:formatCode>
                <c:ptCount val="25"/>
                <c:pt idx="0">
                  <c:v>0.98540040564683251</c:v>
                </c:pt>
                <c:pt idx="1">
                  <c:v>0.98138228260717408</c:v>
                </c:pt>
                <c:pt idx="2">
                  <c:v>0.97738093455389252</c:v>
                </c:pt>
                <c:pt idx="3">
                  <c:v>0.97339629849420162</c:v>
                </c:pt>
                <c:pt idx="4">
                  <c:v>0.96942831153769171</c:v>
                </c:pt>
                <c:pt idx="5">
                  <c:v>0.96547691089832943</c:v>
                </c:pt>
                <c:pt idx="6">
                  <c:v>0.9615420338964269</c:v>
                </c:pt>
                <c:pt idx="7">
                  <c:v>0.95762361796056272</c:v>
                </c:pt>
                <c:pt idx="8">
                  <c:v>0.95372160062947264</c:v>
                </c:pt>
                <c:pt idx="9">
                  <c:v>0.94983591955389635</c:v>
                </c:pt>
                <c:pt idx="10">
                  <c:v>0.94596651249838892</c:v>
                </c:pt>
                <c:pt idx="11">
                  <c:v>0.94211331734309955</c:v>
                </c:pt>
                <c:pt idx="12">
                  <c:v>0.9382762720855059</c:v>
                </c:pt>
                <c:pt idx="13">
                  <c:v>0.93445531484211952</c:v>
                </c:pt>
                <c:pt idx="14">
                  <c:v>0.93065038385015042</c:v>
                </c:pt>
                <c:pt idx="15">
                  <c:v>0.92686141746914352</c:v>
                </c:pt>
                <c:pt idx="16">
                  <c:v>0.92308835418257273</c:v>
                </c:pt>
                <c:pt idx="17">
                  <c:v>0.91933113259940491</c:v>
                </c:pt>
                <c:pt idx="18">
                  <c:v>0.91558969145563185</c:v>
                </c:pt>
                <c:pt idx="19">
                  <c:v>0.91186396961576743</c:v>
                </c:pt>
                <c:pt idx="20">
                  <c:v>0.90815390607430879</c:v>
                </c:pt>
                <c:pt idx="21">
                  <c:v>0.90445943995717126</c:v>
                </c:pt>
                <c:pt idx="22">
                  <c:v>0.90078051052308683</c:v>
                </c:pt>
                <c:pt idx="23">
                  <c:v>0.89711705716497558</c:v>
                </c:pt>
                <c:pt idx="24">
                  <c:v>0.89346901941127876</c:v>
                </c:pt>
              </c:numCache>
            </c:numRef>
          </c:yVal>
          <c:smooth val="1"/>
          <c:extLst>
            <c:ext xmlns:c16="http://schemas.microsoft.com/office/drawing/2014/chart" uri="{C3380CC4-5D6E-409C-BE32-E72D297353CC}">
              <c16:uniqueId val="{0000000A-94A6-4FD8-A408-4CDECD3F63BE}"/>
            </c:ext>
          </c:extLst>
        </c:ser>
        <c:ser>
          <c:idx val="11"/>
          <c:order val="11"/>
          <c:xVal>
            <c:numRef>
              <c:f>TimeValue_1!$C$42:$C$66</c:f>
              <c:numCache>
                <c:formatCode>0.00</c:formatCode>
                <c:ptCount val="25"/>
                <c:pt idx="0">
                  <c:v>0</c:v>
                </c:pt>
                <c:pt idx="1">
                  <c:v>0.25</c:v>
                </c:pt>
                <c:pt idx="2">
                  <c:v>0.5</c:v>
                </c:pt>
                <c:pt idx="3">
                  <c:v>0.75</c:v>
                </c:pt>
                <c:pt idx="4">
                  <c:v>1</c:v>
                </c:pt>
                <c:pt idx="5">
                  <c:v>1.25</c:v>
                </c:pt>
                <c:pt idx="6">
                  <c:v>1.5</c:v>
                </c:pt>
                <c:pt idx="7">
                  <c:v>1.7500000000000002</c:v>
                </c:pt>
                <c:pt idx="8">
                  <c:v>2</c:v>
                </c:pt>
                <c:pt idx="9">
                  <c:v>2.25</c:v>
                </c:pt>
                <c:pt idx="10">
                  <c:v>2.5</c:v>
                </c:pt>
                <c:pt idx="11">
                  <c:v>2.75</c:v>
                </c:pt>
                <c:pt idx="12">
                  <c:v>3</c:v>
                </c:pt>
                <c:pt idx="13">
                  <c:v>3.25</c:v>
                </c:pt>
                <c:pt idx="14">
                  <c:v>3.5000000000000004</c:v>
                </c:pt>
                <c:pt idx="15">
                  <c:v>3.75</c:v>
                </c:pt>
                <c:pt idx="16">
                  <c:v>4</c:v>
                </c:pt>
                <c:pt idx="17">
                  <c:v>4.25</c:v>
                </c:pt>
                <c:pt idx="18">
                  <c:v>4.5</c:v>
                </c:pt>
                <c:pt idx="19">
                  <c:v>4.75</c:v>
                </c:pt>
                <c:pt idx="20">
                  <c:v>5</c:v>
                </c:pt>
                <c:pt idx="21">
                  <c:v>5.25</c:v>
                </c:pt>
                <c:pt idx="22">
                  <c:v>5.5</c:v>
                </c:pt>
                <c:pt idx="23">
                  <c:v>5.75</c:v>
                </c:pt>
                <c:pt idx="24">
                  <c:v>6</c:v>
                </c:pt>
              </c:numCache>
            </c:numRef>
          </c:xVal>
          <c:yVal>
            <c:numRef>
              <c:f>TimeValue_1!$T$42:$T$66</c:f>
              <c:numCache>
                <c:formatCode>0.000</c:formatCode>
                <c:ptCount val="25"/>
                <c:pt idx="0">
                  <c:v>0.98520034920260646</c:v>
                </c:pt>
                <c:pt idx="1">
                  <c:v>0.98121799562052903</c:v>
                </c:pt>
                <c:pt idx="2">
                  <c:v>0.97725217703686262</c:v>
                </c:pt>
                <c:pt idx="3">
                  <c:v>0.97330283136593332</c:v>
                </c:pt>
                <c:pt idx="4">
                  <c:v>0.96936989662683204</c:v>
                </c:pt>
                <c:pt idx="5">
                  <c:v>0.96545331094531506</c:v>
                </c:pt>
                <c:pt idx="6">
                  <c:v>0.96155301255567038</c:v>
                </c:pt>
                <c:pt idx="7">
                  <c:v>0.95766893980254275</c:v>
                </c:pt>
                <c:pt idx="8">
                  <c:v>0.95380103114272341</c:v>
                </c:pt>
                <c:pt idx="9">
                  <c:v>0.94994922514690527</c:v>
                </c:pt>
                <c:pt idx="10">
                  <c:v>0.94611346050139811</c:v>
                </c:pt>
                <c:pt idx="11">
                  <c:v>0.94229367600980851</c:v>
                </c:pt>
                <c:pt idx="12">
                  <c:v>0.93848981059469228</c:v>
                </c:pt>
                <c:pt idx="13">
                  <c:v>0.93470180329916297</c:v>
                </c:pt>
                <c:pt idx="14">
                  <c:v>0.93092959328846836</c:v>
                </c:pt>
                <c:pt idx="15">
                  <c:v>0.92717311985153794</c:v>
                </c:pt>
                <c:pt idx="16">
                  <c:v>0.92343232240249196</c:v>
                </c:pt>
                <c:pt idx="17">
                  <c:v>0.91970714048212066</c:v>
                </c:pt>
                <c:pt idx="18">
                  <c:v>0.91599751375933003</c:v>
                </c:pt>
                <c:pt idx="19">
                  <c:v>0.91230338203255601</c:v>
                </c:pt>
                <c:pt idx="20">
                  <c:v>0.90862468523114803</c:v>
                </c:pt>
                <c:pt idx="21">
                  <c:v>0.90496136341671674</c:v>
                </c:pt>
                <c:pt idx="22">
                  <c:v>0.9013133567844609</c:v>
                </c:pt>
                <c:pt idx="23">
                  <c:v>0.89768060566445262</c:v>
                </c:pt>
                <c:pt idx="24">
                  <c:v>0.89406305052290136</c:v>
                </c:pt>
              </c:numCache>
            </c:numRef>
          </c:yVal>
          <c:smooth val="1"/>
          <c:extLst>
            <c:ext xmlns:c16="http://schemas.microsoft.com/office/drawing/2014/chart" uri="{C3380CC4-5D6E-409C-BE32-E72D297353CC}">
              <c16:uniqueId val="{0000000B-94A6-4FD8-A408-4CDECD3F63BE}"/>
            </c:ext>
          </c:extLst>
        </c:ser>
        <c:dLbls>
          <c:showLegendKey val="0"/>
          <c:showVal val="0"/>
          <c:showCatName val="0"/>
          <c:showSerName val="0"/>
          <c:showPercent val="0"/>
          <c:showBubbleSize val="0"/>
        </c:dLbls>
        <c:axId val="185690752"/>
        <c:axId val="185692544"/>
      </c:scatterChart>
      <c:valAx>
        <c:axId val="185690752"/>
        <c:scaling>
          <c:orientation val="minMax"/>
        </c:scaling>
        <c:delete val="0"/>
        <c:axPos val="b"/>
        <c:numFmt formatCode="0.00" sourceLinked="1"/>
        <c:majorTickMark val="out"/>
        <c:minorTickMark val="none"/>
        <c:tickLblPos val="nextTo"/>
        <c:crossAx val="185692544"/>
        <c:crosses val="autoZero"/>
        <c:crossBetween val="midCat"/>
      </c:valAx>
      <c:valAx>
        <c:axId val="185692544"/>
        <c:scaling>
          <c:orientation val="minMax"/>
        </c:scaling>
        <c:delete val="0"/>
        <c:axPos val="l"/>
        <c:majorGridlines/>
        <c:numFmt formatCode="0.000" sourceLinked="1"/>
        <c:majorTickMark val="out"/>
        <c:minorTickMark val="none"/>
        <c:tickLblPos val="nextTo"/>
        <c:crossAx val="185690752"/>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exp"/>
            <c:intercept val="1"/>
            <c:dispRSqr val="1"/>
            <c:dispEq val="1"/>
            <c:trendlineLbl>
              <c:numFmt formatCode="General" sourceLinked="0"/>
            </c:trendlineLbl>
          </c:trendline>
          <c:xVal>
            <c:numRef>
              <c:f>TimeValue_1!$B$42:$B$66</c:f>
              <c:numCache>
                <c:formatCode>0.00%</c:formatCode>
                <c:ptCount val="25"/>
                <c:pt idx="0">
                  <c:v>0</c:v>
                </c:pt>
                <c:pt idx="1">
                  <c:v>2.5000000000000001E-3</c:v>
                </c:pt>
                <c:pt idx="2">
                  <c:v>5.0000000000000001E-3</c:v>
                </c:pt>
                <c:pt idx="3">
                  <c:v>7.4999999999999997E-3</c:v>
                </c:pt>
                <c:pt idx="4">
                  <c:v>0.01</c:v>
                </c:pt>
                <c:pt idx="5">
                  <c:v>1.2500000000000001E-2</c:v>
                </c:pt>
                <c:pt idx="6">
                  <c:v>1.4999999999999999E-2</c:v>
                </c:pt>
                <c:pt idx="7">
                  <c:v>1.7500000000000002E-2</c:v>
                </c:pt>
                <c:pt idx="8">
                  <c:v>0.02</c:v>
                </c:pt>
                <c:pt idx="9">
                  <c:v>2.2499999999999999E-2</c:v>
                </c:pt>
                <c:pt idx="10">
                  <c:v>2.5000000000000001E-2</c:v>
                </c:pt>
                <c:pt idx="11">
                  <c:v>2.75E-2</c:v>
                </c:pt>
                <c:pt idx="12">
                  <c:v>0.03</c:v>
                </c:pt>
                <c:pt idx="13">
                  <c:v>3.2500000000000001E-2</c:v>
                </c:pt>
                <c:pt idx="14">
                  <c:v>3.5000000000000003E-2</c:v>
                </c:pt>
                <c:pt idx="15">
                  <c:v>3.7499999999999999E-2</c:v>
                </c:pt>
                <c:pt idx="16">
                  <c:v>0.04</c:v>
                </c:pt>
                <c:pt idx="17">
                  <c:v>4.2500000000000003E-2</c:v>
                </c:pt>
                <c:pt idx="18">
                  <c:v>4.4999999999999998E-2</c:v>
                </c:pt>
                <c:pt idx="19">
                  <c:v>4.7500000000000001E-2</c:v>
                </c:pt>
                <c:pt idx="20">
                  <c:v>0.05</c:v>
                </c:pt>
                <c:pt idx="21">
                  <c:v>5.2499999999999998E-2</c:v>
                </c:pt>
                <c:pt idx="22">
                  <c:v>5.5E-2</c:v>
                </c:pt>
                <c:pt idx="23">
                  <c:v>5.7500000000000002E-2</c:v>
                </c:pt>
                <c:pt idx="24">
                  <c:v>0.06</c:v>
                </c:pt>
              </c:numCache>
            </c:numRef>
          </c:xVal>
          <c:yVal>
            <c:numRef>
              <c:f>TimeValue_1!$I$42:$I$66</c:f>
              <c:numCache>
                <c:formatCode>0.000</c:formatCode>
                <c:ptCount val="25"/>
                <c:pt idx="0">
                  <c:v>0.99995890562953049</c:v>
                </c:pt>
                <c:pt idx="1">
                  <c:v>0.90460235959908042</c:v>
                </c:pt>
                <c:pt idx="2">
                  <c:v>0.81553499505509297</c:v>
                </c:pt>
                <c:pt idx="3">
                  <c:v>0.7326745365005316</c:v>
                </c:pt>
                <c:pt idx="4">
                  <c:v>0.65590175813373497</c:v>
                </c:pt>
                <c:pt idx="5">
                  <c:v>0.58506293415933075</c:v>
                </c:pt>
                <c:pt idx="6">
                  <c:v>0.51997284405041255</c:v>
                </c:pt>
                <c:pt idx="7">
                  <c:v>0.46041823742457677</c:v>
                </c:pt>
                <c:pt idx="8">
                  <c:v>0.40616165361910345</c:v>
                </c:pt>
                <c:pt idx="9">
                  <c:v>0.35694548577429541</c:v>
                </c:pt>
                <c:pt idx="10">
                  <c:v>0.31249617822921832</c:v>
                </c:pt>
                <c:pt idx="11">
                  <c:v>0.27252844906680646</c:v>
                </c:pt>
                <c:pt idx="12">
                  <c:v>0.23674943631179354</c:v>
                </c:pt>
                <c:pt idx="13">
                  <c:v>0.20486267603278749</c:v>
                </c:pt>
                <c:pt idx="14">
                  <c:v>0.17657183278676292</c:v>
                </c:pt>
                <c:pt idx="15">
                  <c:v>0.15158411676008648</c:v>
                </c:pt>
                <c:pt idx="16">
                  <c:v>0.12961333688924104</c:v>
                </c:pt>
                <c:pt idx="17">
                  <c:v>0.11038255448727366</c:v>
                </c:pt>
                <c:pt idx="18">
                  <c:v>9.3626316819313493E-2</c:v>
                </c:pt>
                <c:pt idx="19">
                  <c:v>7.9092464105943588E-2</c:v>
                </c:pt>
                <c:pt idx="20">
                  <c:v>6.6543516132217304E-2</c:v>
                </c:pt>
                <c:pt idx="21">
                  <c:v>5.5757655661290879E-2</c:v>
                </c:pt>
                <c:pt idx="22">
                  <c:v>4.6529334969647861E-2</c:v>
                </c:pt>
                <c:pt idx="23">
                  <c:v>3.8669538923530429E-2</c:v>
                </c:pt>
                <c:pt idx="24">
                  <c:v>3.2005743095255564E-2</c:v>
                </c:pt>
              </c:numCache>
            </c:numRef>
          </c:yVal>
          <c:smooth val="0"/>
          <c:extLst>
            <c:ext xmlns:c16="http://schemas.microsoft.com/office/drawing/2014/chart" uri="{C3380CC4-5D6E-409C-BE32-E72D297353CC}">
              <c16:uniqueId val="{00000000-1664-4990-9150-283903C63088}"/>
            </c:ext>
          </c:extLst>
        </c:ser>
        <c:ser>
          <c:idx val="1"/>
          <c:order val="1"/>
          <c:spPr>
            <a:ln w="28575">
              <a:noFill/>
            </a:ln>
          </c:spPr>
          <c:trendline>
            <c:trendlineType val="exp"/>
            <c:intercept val="1"/>
            <c:dispRSqr val="1"/>
            <c:dispEq val="1"/>
            <c:trendlineLbl>
              <c:layout>
                <c:manualLayout>
                  <c:x val="0.18601224846894138"/>
                  <c:y val="1.1651356080489939E-2"/>
                </c:manualLayout>
              </c:layout>
              <c:numFmt formatCode="General" sourceLinked="0"/>
            </c:trendlineLbl>
          </c:trendline>
          <c:xVal>
            <c:numRef>
              <c:f>TimeValue_1!$B$42:$B$66</c:f>
              <c:numCache>
                <c:formatCode>0.00%</c:formatCode>
                <c:ptCount val="25"/>
                <c:pt idx="0">
                  <c:v>0</c:v>
                </c:pt>
                <c:pt idx="1">
                  <c:v>2.5000000000000001E-3</c:v>
                </c:pt>
                <c:pt idx="2">
                  <c:v>5.0000000000000001E-3</c:v>
                </c:pt>
                <c:pt idx="3">
                  <c:v>7.4999999999999997E-3</c:v>
                </c:pt>
                <c:pt idx="4">
                  <c:v>0.01</c:v>
                </c:pt>
                <c:pt idx="5">
                  <c:v>1.2500000000000001E-2</c:v>
                </c:pt>
                <c:pt idx="6">
                  <c:v>1.4999999999999999E-2</c:v>
                </c:pt>
                <c:pt idx="7">
                  <c:v>1.7500000000000002E-2</c:v>
                </c:pt>
                <c:pt idx="8">
                  <c:v>0.02</c:v>
                </c:pt>
                <c:pt idx="9">
                  <c:v>2.2499999999999999E-2</c:v>
                </c:pt>
                <c:pt idx="10">
                  <c:v>2.5000000000000001E-2</c:v>
                </c:pt>
                <c:pt idx="11">
                  <c:v>2.75E-2</c:v>
                </c:pt>
                <c:pt idx="12">
                  <c:v>0.03</c:v>
                </c:pt>
                <c:pt idx="13">
                  <c:v>3.2500000000000001E-2</c:v>
                </c:pt>
                <c:pt idx="14">
                  <c:v>3.5000000000000003E-2</c:v>
                </c:pt>
                <c:pt idx="15">
                  <c:v>3.7499999999999999E-2</c:v>
                </c:pt>
                <c:pt idx="16">
                  <c:v>0.04</c:v>
                </c:pt>
                <c:pt idx="17">
                  <c:v>4.2500000000000003E-2</c:v>
                </c:pt>
                <c:pt idx="18">
                  <c:v>4.4999999999999998E-2</c:v>
                </c:pt>
                <c:pt idx="19">
                  <c:v>4.7500000000000001E-2</c:v>
                </c:pt>
                <c:pt idx="20">
                  <c:v>0.05</c:v>
                </c:pt>
                <c:pt idx="21">
                  <c:v>5.2499999999999998E-2</c:v>
                </c:pt>
                <c:pt idx="22">
                  <c:v>5.5E-2</c:v>
                </c:pt>
                <c:pt idx="23">
                  <c:v>5.7500000000000002E-2</c:v>
                </c:pt>
                <c:pt idx="24">
                  <c:v>0.06</c:v>
                </c:pt>
              </c:numCache>
            </c:numRef>
          </c:xVal>
          <c:yVal>
            <c:numRef>
              <c:f>TimeValue_1!$J$42:$J$66</c:f>
              <c:numCache>
                <c:formatCode>0.000</c:formatCode>
                <c:ptCount val="25"/>
                <c:pt idx="0">
                  <c:v>0.99971240323108657</c:v>
                </c:pt>
                <c:pt idx="1">
                  <c:v>0.96370458890143906</c:v>
                </c:pt>
                <c:pt idx="2">
                  <c:v>0.92859739850608569</c:v>
                </c:pt>
                <c:pt idx="3">
                  <c:v>0.89438626427263312</c:v>
                </c:pt>
                <c:pt idx="4">
                  <c:v>0.86106585526637003</c:v>
                </c:pt>
                <c:pt idx="5">
                  <c:v>0.82863009713403024</c:v>
                </c:pt>
                <c:pt idx="6">
                  <c:v>0.79707219350294167</c:v>
                </c:pt>
                <c:pt idx="7">
                  <c:v>0.76638464892343283</c:v>
                </c:pt>
                <c:pt idx="8">
                  <c:v>0.73655929323818703</c:v>
                </c:pt>
                <c:pt idx="9">
                  <c:v>0.70758730725899399</c:v>
                </c:pt>
                <c:pt idx="10">
                  <c:v>0.67945924962892545</c:v>
                </c:pt>
                <c:pt idx="11">
                  <c:v>0.65216508474584278</c:v>
                </c:pt>
                <c:pt idx="12">
                  <c:v>0.6256942116223061</c:v>
                </c:pt>
                <c:pt idx="13">
                  <c:v>0.60003549355641228</c:v>
                </c:pt>
                <c:pt idx="14">
                  <c:v>0.57517728848836747</c:v>
                </c:pt>
                <c:pt idx="15">
                  <c:v>0.55110747991840692</c:v>
                </c:pt>
                <c:pt idx="16">
                  <c:v>0.52781350826346396</c:v>
                </c:pt>
                <c:pt idx="17">
                  <c:v>0.50528240253164358</c:v>
                </c:pt>
                <c:pt idx="18">
                  <c:v>0.48350081219671065</c:v>
                </c:pt>
                <c:pt idx="19">
                  <c:v>0.4624550391575476</c:v>
                </c:pt>
                <c:pt idx="20">
                  <c:v>0.44213106967140975</c:v>
                </c:pt>
                <c:pt idx="21">
                  <c:v>0.42251460615366093</c:v>
                </c:pt>
                <c:pt idx="22">
                  <c:v>0.40359109874138427</c:v>
                </c:pt>
                <c:pt idx="23">
                  <c:v>0.38534577652272844</c:v>
                </c:pt>
                <c:pt idx="24">
                  <c:v>0.36776367833924972</c:v>
                </c:pt>
              </c:numCache>
            </c:numRef>
          </c:yVal>
          <c:smooth val="0"/>
          <c:extLst>
            <c:ext xmlns:c16="http://schemas.microsoft.com/office/drawing/2014/chart" uri="{C3380CC4-5D6E-409C-BE32-E72D297353CC}">
              <c16:uniqueId val="{00000001-1664-4990-9150-283903C63088}"/>
            </c:ext>
          </c:extLst>
        </c:ser>
        <c:ser>
          <c:idx val="2"/>
          <c:order val="2"/>
          <c:spPr>
            <a:ln w="28575">
              <a:noFill/>
            </a:ln>
          </c:spPr>
          <c:xVal>
            <c:numRef>
              <c:f>TimeValue_1!$B$42:$B$66</c:f>
              <c:numCache>
                <c:formatCode>0.00%</c:formatCode>
                <c:ptCount val="25"/>
                <c:pt idx="0">
                  <c:v>0</c:v>
                </c:pt>
                <c:pt idx="1">
                  <c:v>2.5000000000000001E-3</c:v>
                </c:pt>
                <c:pt idx="2">
                  <c:v>5.0000000000000001E-3</c:v>
                </c:pt>
                <c:pt idx="3">
                  <c:v>7.4999999999999997E-3</c:v>
                </c:pt>
                <c:pt idx="4">
                  <c:v>0.01</c:v>
                </c:pt>
                <c:pt idx="5">
                  <c:v>1.2500000000000001E-2</c:v>
                </c:pt>
                <c:pt idx="6">
                  <c:v>1.4999999999999999E-2</c:v>
                </c:pt>
                <c:pt idx="7">
                  <c:v>1.7500000000000002E-2</c:v>
                </c:pt>
                <c:pt idx="8">
                  <c:v>0.02</c:v>
                </c:pt>
                <c:pt idx="9">
                  <c:v>2.2499999999999999E-2</c:v>
                </c:pt>
                <c:pt idx="10">
                  <c:v>2.5000000000000001E-2</c:v>
                </c:pt>
                <c:pt idx="11">
                  <c:v>2.75E-2</c:v>
                </c:pt>
                <c:pt idx="12">
                  <c:v>0.03</c:v>
                </c:pt>
                <c:pt idx="13">
                  <c:v>3.2500000000000001E-2</c:v>
                </c:pt>
                <c:pt idx="14">
                  <c:v>3.5000000000000003E-2</c:v>
                </c:pt>
                <c:pt idx="15">
                  <c:v>3.7499999999999999E-2</c:v>
                </c:pt>
                <c:pt idx="16">
                  <c:v>0.04</c:v>
                </c:pt>
                <c:pt idx="17">
                  <c:v>4.2500000000000003E-2</c:v>
                </c:pt>
                <c:pt idx="18">
                  <c:v>4.4999999999999998E-2</c:v>
                </c:pt>
                <c:pt idx="19">
                  <c:v>4.7500000000000001E-2</c:v>
                </c:pt>
                <c:pt idx="20">
                  <c:v>0.05</c:v>
                </c:pt>
                <c:pt idx="21">
                  <c:v>5.2499999999999998E-2</c:v>
                </c:pt>
                <c:pt idx="22">
                  <c:v>5.5E-2</c:v>
                </c:pt>
                <c:pt idx="23">
                  <c:v>5.7500000000000002E-2</c:v>
                </c:pt>
                <c:pt idx="24">
                  <c:v>0.06</c:v>
                </c:pt>
              </c:numCache>
            </c:numRef>
          </c:xVal>
          <c:yVal>
            <c:numRef>
              <c:f>TimeValue_1!$K$42:$K$66</c:f>
              <c:numCache>
                <c:formatCode>0.000</c:formatCode>
                <c:ptCount val="25"/>
                <c:pt idx="0">
                  <c:v>0.99942495532891373</c:v>
                </c:pt>
                <c:pt idx="1">
                  <c:v>0.97423551351790283</c:v>
                </c:pt>
                <c:pt idx="2">
                  <c:v>0.94949611349557217</c:v>
                </c:pt>
                <c:pt idx="3">
                  <c:v>0.92520477476956842</c:v>
                </c:pt>
                <c:pt idx="4">
                  <c:v>0.90135933084506414</c:v>
                </c:pt>
                <c:pt idx="5">
                  <c:v>0.87795743346191712</c:v>
                </c:pt>
                <c:pt idx="6">
                  <c:v>0.85499655701085975</c:v>
                </c:pt>
                <c:pt idx="7">
                  <c:v>0.83247400311716102</c:v>
                </c:pt>
                <c:pt idx="8">
                  <c:v>0.81038690538000235</c:v>
                </c:pt>
                <c:pt idx="9">
                  <c:v>0.78873223425581052</c:v>
                </c:pt>
                <c:pt idx="10">
                  <c:v>0.76750680207372002</c:v>
                </c:pt>
                <c:pt idx="11">
                  <c:v>0.74670726817141408</c:v>
                </c:pt>
                <c:pt idx="12">
                  <c:v>0.72633014413943919</c:v>
                </c:pt>
                <c:pt idx="13">
                  <c:v>0.70637179916236148</c:v>
                </c:pt>
                <c:pt idx="14">
                  <c:v>0.68682846544512333</c:v>
                </c:pt>
                <c:pt idx="15">
                  <c:v>0.66769624371302072</c:v>
                </c:pt>
                <c:pt idx="16">
                  <c:v>0.64897110877399122</c:v>
                </c:pt>
                <c:pt idx="17">
                  <c:v>0.6306489151319582</c:v>
                </c:pt>
                <c:pt idx="18">
                  <c:v>0.61272540264028574</c:v>
                </c:pt>
                <c:pt idx="19">
                  <c:v>0.59519620218450076</c:v>
                </c:pt>
                <c:pt idx="20">
                  <c:v>0.57805684138376989</c:v>
                </c:pt>
                <c:pt idx="21">
                  <c:v>0.56130275030082033</c:v>
                </c:pt>
                <c:pt idx="22">
                  <c:v>0.54492926715029244</c:v>
                </c:pt>
                <c:pt idx="23">
                  <c:v>0.52893164399585391</c:v>
                </c:pt>
                <c:pt idx="24">
                  <c:v>0.5133050524266124</c:v>
                </c:pt>
              </c:numCache>
            </c:numRef>
          </c:yVal>
          <c:smooth val="0"/>
          <c:extLst>
            <c:ext xmlns:c16="http://schemas.microsoft.com/office/drawing/2014/chart" uri="{C3380CC4-5D6E-409C-BE32-E72D297353CC}">
              <c16:uniqueId val="{00000002-1664-4990-9150-283903C63088}"/>
            </c:ext>
          </c:extLst>
        </c:ser>
        <c:ser>
          <c:idx val="3"/>
          <c:order val="3"/>
          <c:spPr>
            <a:ln w="28575">
              <a:noFill/>
            </a:ln>
          </c:spPr>
          <c:xVal>
            <c:numRef>
              <c:f>TimeValue_1!$B$42:$B$66</c:f>
              <c:numCache>
                <c:formatCode>0.00%</c:formatCode>
                <c:ptCount val="25"/>
                <c:pt idx="0">
                  <c:v>0</c:v>
                </c:pt>
                <c:pt idx="1">
                  <c:v>2.5000000000000001E-3</c:v>
                </c:pt>
                <c:pt idx="2">
                  <c:v>5.0000000000000001E-3</c:v>
                </c:pt>
                <c:pt idx="3">
                  <c:v>7.4999999999999997E-3</c:v>
                </c:pt>
                <c:pt idx="4">
                  <c:v>0.01</c:v>
                </c:pt>
                <c:pt idx="5">
                  <c:v>1.2500000000000001E-2</c:v>
                </c:pt>
                <c:pt idx="6">
                  <c:v>1.4999999999999999E-2</c:v>
                </c:pt>
                <c:pt idx="7">
                  <c:v>1.7500000000000002E-2</c:v>
                </c:pt>
                <c:pt idx="8">
                  <c:v>0.02</c:v>
                </c:pt>
                <c:pt idx="9">
                  <c:v>2.2499999999999999E-2</c:v>
                </c:pt>
                <c:pt idx="10">
                  <c:v>2.5000000000000001E-2</c:v>
                </c:pt>
                <c:pt idx="11">
                  <c:v>2.75E-2</c:v>
                </c:pt>
                <c:pt idx="12">
                  <c:v>0.03</c:v>
                </c:pt>
                <c:pt idx="13">
                  <c:v>3.2500000000000001E-2</c:v>
                </c:pt>
                <c:pt idx="14">
                  <c:v>3.5000000000000003E-2</c:v>
                </c:pt>
                <c:pt idx="15">
                  <c:v>3.7499999999999999E-2</c:v>
                </c:pt>
                <c:pt idx="16">
                  <c:v>0.04</c:v>
                </c:pt>
                <c:pt idx="17">
                  <c:v>4.2500000000000003E-2</c:v>
                </c:pt>
                <c:pt idx="18">
                  <c:v>4.4999999999999998E-2</c:v>
                </c:pt>
                <c:pt idx="19">
                  <c:v>4.7500000000000001E-2</c:v>
                </c:pt>
                <c:pt idx="20">
                  <c:v>0.05</c:v>
                </c:pt>
                <c:pt idx="21">
                  <c:v>5.2499999999999998E-2</c:v>
                </c:pt>
                <c:pt idx="22">
                  <c:v>5.5E-2</c:v>
                </c:pt>
                <c:pt idx="23">
                  <c:v>5.7500000000000002E-2</c:v>
                </c:pt>
                <c:pt idx="24">
                  <c:v>0.06</c:v>
                </c:pt>
              </c:numCache>
            </c:numRef>
          </c:xVal>
          <c:yVal>
            <c:numRef>
              <c:f>TimeValue_1!$L$42:$L$66</c:f>
              <c:numCache>
                <c:formatCode>0.000</c:formatCode>
                <c:ptCount val="25"/>
                <c:pt idx="0">
                  <c:v>0.99913765620175177</c:v>
                </c:pt>
                <c:pt idx="1">
                  <c:v>0.97876551677416046</c:v>
                </c:pt>
                <c:pt idx="2">
                  <c:v>0.95869317265783527</c:v>
                </c:pt>
                <c:pt idx="3">
                  <c:v>0.93891937164905137</c:v>
                </c:pt>
                <c:pt idx="4">
                  <c:v>0.91944278117236544</c:v>
                </c:pt>
                <c:pt idx="5">
                  <c:v>0.90026199004563578</c:v>
                </c:pt>
                <c:pt idx="6">
                  <c:v>0.88137551028950756</c:v>
                </c:pt>
                <c:pt idx="7">
                  <c:v>0.86278177897821295</c:v>
                </c:pt>
                <c:pt idx="8">
                  <c:v>0.84447916012860402</c:v>
                </c:pt>
                <c:pt idx="9">
                  <c:v>0.82646594662439121</c:v>
                </c:pt>
                <c:pt idx="10">
                  <c:v>0.80874036217249545</c:v>
                </c:pt>
                <c:pt idx="11">
                  <c:v>0.79130056328850951</c:v>
                </c:pt>
                <c:pt idx="12">
                  <c:v>0.77414464130829408</c:v>
                </c:pt>
                <c:pt idx="13">
                  <c:v>0.75727062442270843</c:v>
                </c:pt>
                <c:pt idx="14">
                  <c:v>0.7406764797325498</c:v>
                </c:pt>
                <c:pt idx="15">
                  <c:v>0.72436011532088085</c:v>
                </c:pt>
                <c:pt idx="16">
                  <c:v>0.70831938233987168</c:v>
                </c:pt>
                <c:pt idx="17">
                  <c:v>0.69255207710929156</c:v>
                </c:pt>
                <c:pt idx="18">
                  <c:v>0.67705594322410756</c:v>
                </c:pt>
                <c:pt idx="19">
                  <c:v>0.66182867366832976</c:v>
                </c:pt>
                <c:pt idx="20">
                  <c:v>0.64686791293257595</c:v>
                </c:pt>
                <c:pt idx="21">
                  <c:v>0.63217125913281502</c:v>
                </c:pt>
                <c:pt idx="22">
                  <c:v>0.61773626612776344</c:v>
                </c:pt>
                <c:pt idx="23">
                  <c:v>0.60356044563253874</c:v>
                </c:pt>
                <c:pt idx="24">
                  <c:v>0.58964126932621452</c:v>
                </c:pt>
              </c:numCache>
            </c:numRef>
          </c:yVal>
          <c:smooth val="0"/>
          <c:extLst>
            <c:ext xmlns:c16="http://schemas.microsoft.com/office/drawing/2014/chart" uri="{C3380CC4-5D6E-409C-BE32-E72D297353CC}">
              <c16:uniqueId val="{00000003-1664-4990-9150-283903C63088}"/>
            </c:ext>
          </c:extLst>
        </c:ser>
        <c:ser>
          <c:idx val="4"/>
          <c:order val="4"/>
          <c:spPr>
            <a:ln w="28575">
              <a:noFill/>
            </a:ln>
          </c:spPr>
          <c:xVal>
            <c:numRef>
              <c:f>TimeValue_1!$B$42:$B$66</c:f>
              <c:numCache>
                <c:formatCode>0.00%</c:formatCode>
                <c:ptCount val="25"/>
                <c:pt idx="0">
                  <c:v>0</c:v>
                </c:pt>
                <c:pt idx="1">
                  <c:v>2.5000000000000001E-3</c:v>
                </c:pt>
                <c:pt idx="2">
                  <c:v>5.0000000000000001E-3</c:v>
                </c:pt>
                <c:pt idx="3">
                  <c:v>7.4999999999999997E-3</c:v>
                </c:pt>
                <c:pt idx="4">
                  <c:v>0.01</c:v>
                </c:pt>
                <c:pt idx="5">
                  <c:v>1.2500000000000001E-2</c:v>
                </c:pt>
                <c:pt idx="6">
                  <c:v>1.4999999999999999E-2</c:v>
                </c:pt>
                <c:pt idx="7">
                  <c:v>1.7500000000000002E-2</c:v>
                </c:pt>
                <c:pt idx="8">
                  <c:v>0.02</c:v>
                </c:pt>
                <c:pt idx="9">
                  <c:v>2.2499999999999999E-2</c:v>
                </c:pt>
                <c:pt idx="10">
                  <c:v>2.5000000000000001E-2</c:v>
                </c:pt>
                <c:pt idx="11">
                  <c:v>2.75E-2</c:v>
                </c:pt>
                <c:pt idx="12">
                  <c:v>0.03</c:v>
                </c:pt>
                <c:pt idx="13">
                  <c:v>3.2500000000000001E-2</c:v>
                </c:pt>
                <c:pt idx="14">
                  <c:v>3.5000000000000003E-2</c:v>
                </c:pt>
                <c:pt idx="15">
                  <c:v>3.7499999999999999E-2</c:v>
                </c:pt>
                <c:pt idx="16">
                  <c:v>0.04</c:v>
                </c:pt>
                <c:pt idx="17">
                  <c:v>4.2500000000000003E-2</c:v>
                </c:pt>
                <c:pt idx="18">
                  <c:v>4.4999999999999998E-2</c:v>
                </c:pt>
                <c:pt idx="19">
                  <c:v>4.7500000000000001E-2</c:v>
                </c:pt>
                <c:pt idx="20">
                  <c:v>0.05</c:v>
                </c:pt>
                <c:pt idx="21">
                  <c:v>5.2499999999999998E-2</c:v>
                </c:pt>
                <c:pt idx="22">
                  <c:v>5.5E-2</c:v>
                </c:pt>
                <c:pt idx="23">
                  <c:v>5.7500000000000002E-2</c:v>
                </c:pt>
                <c:pt idx="24">
                  <c:v>0.06</c:v>
                </c:pt>
              </c:numCache>
            </c:numRef>
          </c:xVal>
          <c:yVal>
            <c:numRef>
              <c:f>TimeValue_1!$M$42:$M$66</c:f>
              <c:numCache>
                <c:formatCode>0.000</c:formatCode>
                <c:ptCount val="25"/>
                <c:pt idx="0">
                  <c:v>0.99885050575792833</c:v>
                </c:pt>
                <c:pt idx="1">
                  <c:v>0.98135714585083189</c:v>
                </c:pt>
                <c:pt idx="2">
                  <c:v>0.96408844830850482</c:v>
                </c:pt>
                <c:pt idx="3">
                  <c:v>0.94704349989470005</c:v>
                </c:pt>
                <c:pt idx="4">
                  <c:v>0.93022134347753882</c:v>
                </c:pt>
                <c:pt idx="5">
                  <c:v>0.91362097898309991</c:v>
                </c:pt>
                <c:pt idx="6">
                  <c:v>0.89724136436411106</c:v>
                </c:pt>
                <c:pt idx="7">
                  <c:v>0.88108141658255956</c:v>
                </c:pt>
                <c:pt idx="8">
                  <c:v>0.86514001260502393</c:v>
                </c:pt>
                <c:pt idx="9">
                  <c:v>0.84941599040956306</c:v>
                </c:pt>
                <c:pt idx="10">
                  <c:v>0.83390815000301077</c:v>
                </c:pt>
                <c:pt idx="11">
                  <c:v>0.81861525444752359</c:v>
                </c:pt>
                <c:pt idx="12">
                  <c:v>0.80353603089524372</c:v>
                </c:pt>
                <c:pt idx="13">
                  <c:v>0.7886691716299945</c:v>
                </c:pt>
                <c:pt idx="14">
                  <c:v>0.77401333511489778</c:v>
                </c:pt>
                <c:pt idx="15">
                  <c:v>0.75956714704484662</c:v>
                </c:pt>
                <c:pt idx="16">
                  <c:v>0.74532920140280279</c:v>
                </c:pt>
                <c:pt idx="17">
                  <c:v>0.73129806151881971</c:v>
                </c:pt>
                <c:pt idx="18">
                  <c:v>0.71747226113090112</c:v>
                </c:pt>
                <c:pt idx="19">
                  <c:v>0.70385030544659077</c:v>
                </c:pt>
                <c:pt idx="20">
                  <c:v>0.69043067220441035</c:v>
                </c:pt>
                <c:pt idx="21">
                  <c:v>0.67721181273416886</c:v>
                </c:pt>
                <c:pt idx="22">
                  <c:v>0.66419215301527124</c:v>
                </c:pt>
                <c:pt idx="23">
                  <c:v>0.65137009473207952</c:v>
                </c:pt>
                <c:pt idx="24">
                  <c:v>0.63874401632552946</c:v>
                </c:pt>
              </c:numCache>
            </c:numRef>
          </c:yVal>
          <c:smooth val="0"/>
          <c:extLst>
            <c:ext xmlns:c16="http://schemas.microsoft.com/office/drawing/2014/chart" uri="{C3380CC4-5D6E-409C-BE32-E72D297353CC}">
              <c16:uniqueId val="{00000004-1664-4990-9150-283903C63088}"/>
            </c:ext>
          </c:extLst>
        </c:ser>
        <c:ser>
          <c:idx val="5"/>
          <c:order val="5"/>
          <c:spPr>
            <a:ln w="28575">
              <a:noFill/>
            </a:ln>
          </c:spPr>
          <c:xVal>
            <c:numRef>
              <c:f>TimeValue_1!$B$42:$B$66</c:f>
              <c:numCache>
                <c:formatCode>0.00%</c:formatCode>
                <c:ptCount val="25"/>
                <c:pt idx="0">
                  <c:v>0</c:v>
                </c:pt>
                <c:pt idx="1">
                  <c:v>2.5000000000000001E-3</c:v>
                </c:pt>
                <c:pt idx="2">
                  <c:v>5.0000000000000001E-3</c:v>
                </c:pt>
                <c:pt idx="3">
                  <c:v>7.4999999999999997E-3</c:v>
                </c:pt>
                <c:pt idx="4">
                  <c:v>0.01</c:v>
                </c:pt>
                <c:pt idx="5">
                  <c:v>1.2500000000000001E-2</c:v>
                </c:pt>
                <c:pt idx="6">
                  <c:v>1.4999999999999999E-2</c:v>
                </c:pt>
                <c:pt idx="7">
                  <c:v>1.7500000000000002E-2</c:v>
                </c:pt>
                <c:pt idx="8">
                  <c:v>0.02</c:v>
                </c:pt>
                <c:pt idx="9">
                  <c:v>2.2499999999999999E-2</c:v>
                </c:pt>
                <c:pt idx="10">
                  <c:v>2.5000000000000001E-2</c:v>
                </c:pt>
                <c:pt idx="11">
                  <c:v>2.75E-2</c:v>
                </c:pt>
                <c:pt idx="12">
                  <c:v>0.03</c:v>
                </c:pt>
                <c:pt idx="13">
                  <c:v>3.2500000000000001E-2</c:v>
                </c:pt>
                <c:pt idx="14">
                  <c:v>3.5000000000000003E-2</c:v>
                </c:pt>
                <c:pt idx="15">
                  <c:v>3.7499999999999999E-2</c:v>
                </c:pt>
                <c:pt idx="16">
                  <c:v>0.04</c:v>
                </c:pt>
                <c:pt idx="17">
                  <c:v>4.2500000000000003E-2</c:v>
                </c:pt>
                <c:pt idx="18">
                  <c:v>4.4999999999999998E-2</c:v>
                </c:pt>
                <c:pt idx="19">
                  <c:v>4.7500000000000001E-2</c:v>
                </c:pt>
                <c:pt idx="20">
                  <c:v>0.05</c:v>
                </c:pt>
                <c:pt idx="21">
                  <c:v>5.2499999999999998E-2</c:v>
                </c:pt>
                <c:pt idx="22">
                  <c:v>5.5E-2</c:v>
                </c:pt>
                <c:pt idx="23">
                  <c:v>5.7500000000000002E-2</c:v>
                </c:pt>
                <c:pt idx="24">
                  <c:v>0.06</c:v>
                </c:pt>
              </c:numCache>
            </c:numRef>
          </c:xVal>
          <c:yVal>
            <c:numRef>
              <c:f>TimeValue_1!$N$42:$N$66</c:f>
              <c:numCache>
                <c:formatCode>0.000</c:formatCode>
                <c:ptCount val="25"/>
                <c:pt idx="0">
                  <c:v>0.99856350390583537</c:v>
                </c:pt>
                <c:pt idx="1">
                  <c:v>0.98303771051404654</c:v>
                </c:pt>
                <c:pt idx="2">
                  <c:v>0.96769149669253829</c:v>
                </c:pt>
                <c:pt idx="3">
                  <c:v>0.95252414452539291</c:v>
                </c:pt>
                <c:pt idx="4">
                  <c:v>0.93753490884885549</c:v>
                </c:pt>
                <c:pt idx="5">
                  <c:v>0.92272301784349753</c:v>
                </c:pt>
                <c:pt idx="6">
                  <c:v>0.90808767363226484</c:v>
                </c:pt>
                <c:pt idx="7">
                  <c:v>0.89362805288385949</c:v>
                </c:pt>
                <c:pt idx="8">
                  <c:v>0.87934330742091804</c:v>
                </c:pt>
                <c:pt idx="9">
                  <c:v>0.86523256483238964</c:v>
                </c:pt>
                <c:pt idx="10">
                  <c:v>0.85129492908961757</c:v>
                </c:pt>
                <c:pt idx="11">
                  <c:v>0.83752948116557036</c:v>
                </c:pt>
                <c:pt idx="12">
                  <c:v>0.82393527965671265</c:v>
                </c:pt>
                <c:pt idx="13">
                  <c:v>0.81051136140697833</c:v>
                </c:pt>
                <c:pt idx="14">
                  <c:v>0.79725674213336295</c:v>
                </c:pt>
                <c:pt idx="15">
                  <c:v>0.78417041705266521</c:v>
                </c:pt>
                <c:pt idx="16">
                  <c:v>0.77125136150883156</c:v>
                </c:pt>
                <c:pt idx="17">
                  <c:v>0.75849853160051073</c:v>
                </c:pt>
                <c:pt idx="18">
                  <c:v>0.74591086480828517</c:v>
                </c:pt>
                <c:pt idx="19">
                  <c:v>0.73348728062119917</c:v>
                </c:pt>
                <c:pt idx="20">
                  <c:v>0.72122668116208299</c:v>
                </c:pt>
                <c:pt idx="21">
                  <c:v>0.70912795181131238</c:v>
                </c:pt>
                <c:pt idx="22">
                  <c:v>0.69718996182852877</c:v>
                </c:pt>
                <c:pt idx="23">
                  <c:v>0.68541156497195344</c:v>
                </c:pt>
                <c:pt idx="24">
                  <c:v>0.67379160011492445</c:v>
                </c:pt>
              </c:numCache>
            </c:numRef>
          </c:yVal>
          <c:smooth val="0"/>
          <c:extLst>
            <c:ext xmlns:c16="http://schemas.microsoft.com/office/drawing/2014/chart" uri="{C3380CC4-5D6E-409C-BE32-E72D297353CC}">
              <c16:uniqueId val="{00000005-1664-4990-9150-283903C63088}"/>
            </c:ext>
          </c:extLst>
        </c:ser>
        <c:ser>
          <c:idx val="6"/>
          <c:order val="6"/>
          <c:spPr>
            <a:ln w="28575">
              <a:noFill/>
            </a:ln>
          </c:spPr>
          <c:xVal>
            <c:numRef>
              <c:f>TimeValue_1!$B$42:$B$66</c:f>
              <c:numCache>
                <c:formatCode>0.00%</c:formatCode>
                <c:ptCount val="25"/>
                <c:pt idx="0">
                  <c:v>0</c:v>
                </c:pt>
                <c:pt idx="1">
                  <c:v>2.5000000000000001E-3</c:v>
                </c:pt>
                <c:pt idx="2">
                  <c:v>5.0000000000000001E-3</c:v>
                </c:pt>
                <c:pt idx="3">
                  <c:v>7.4999999999999997E-3</c:v>
                </c:pt>
                <c:pt idx="4">
                  <c:v>0.01</c:v>
                </c:pt>
                <c:pt idx="5">
                  <c:v>1.2500000000000001E-2</c:v>
                </c:pt>
                <c:pt idx="6">
                  <c:v>1.4999999999999999E-2</c:v>
                </c:pt>
                <c:pt idx="7">
                  <c:v>1.7500000000000002E-2</c:v>
                </c:pt>
                <c:pt idx="8">
                  <c:v>0.02</c:v>
                </c:pt>
                <c:pt idx="9">
                  <c:v>2.2499999999999999E-2</c:v>
                </c:pt>
                <c:pt idx="10">
                  <c:v>2.5000000000000001E-2</c:v>
                </c:pt>
                <c:pt idx="11">
                  <c:v>2.75E-2</c:v>
                </c:pt>
                <c:pt idx="12">
                  <c:v>0.03</c:v>
                </c:pt>
                <c:pt idx="13">
                  <c:v>3.2500000000000001E-2</c:v>
                </c:pt>
                <c:pt idx="14">
                  <c:v>3.5000000000000003E-2</c:v>
                </c:pt>
                <c:pt idx="15">
                  <c:v>3.7499999999999999E-2</c:v>
                </c:pt>
                <c:pt idx="16">
                  <c:v>0.04</c:v>
                </c:pt>
                <c:pt idx="17">
                  <c:v>4.2500000000000003E-2</c:v>
                </c:pt>
                <c:pt idx="18">
                  <c:v>4.4999999999999998E-2</c:v>
                </c:pt>
                <c:pt idx="19">
                  <c:v>4.7500000000000001E-2</c:v>
                </c:pt>
                <c:pt idx="20">
                  <c:v>0.05</c:v>
                </c:pt>
                <c:pt idx="21">
                  <c:v>5.2499999999999998E-2</c:v>
                </c:pt>
                <c:pt idx="22">
                  <c:v>5.5E-2</c:v>
                </c:pt>
                <c:pt idx="23">
                  <c:v>5.7500000000000002E-2</c:v>
                </c:pt>
                <c:pt idx="24">
                  <c:v>0.06</c:v>
                </c:pt>
              </c:numCache>
            </c:numRef>
          </c:xVal>
          <c:yVal>
            <c:numRef>
              <c:f>TimeValue_1!$O$42:$O$66</c:f>
              <c:numCache>
                <c:formatCode>0.000</c:formatCode>
                <c:ptCount val="25"/>
                <c:pt idx="0">
                  <c:v>0.998276650553928</c:v>
                </c:pt>
                <c:pt idx="1">
                  <c:v>0.98420477676301321</c:v>
                </c:pt>
                <c:pt idx="2">
                  <c:v>0.97028242614057492</c:v>
                </c:pt>
                <c:pt idx="3">
                  <c:v>0.95650900762488134</c:v>
                </c:pt>
                <c:pt idx="4">
                  <c:v>0.94288391182030962</c:v>
                </c:pt>
                <c:pt idx="5">
                  <c:v>0.92940651139838204</c:v>
                </c:pt>
                <c:pt idx="6">
                  <c:v>0.9160761615012053</c:v>
                </c:pt>
                <c:pt idx="7">
                  <c:v>0.90289220014692995</c:v>
                </c:pt>
                <c:pt idx="8">
                  <c:v>0.88985394863702916</c:v>
                </c:pt>
                <c:pt idx="9">
                  <c:v>0.87696071196500924</c:v>
                </c:pt>
                <c:pt idx="10">
                  <c:v>0.86421177922633119</c:v>
                </c:pt>
                <c:pt idx="11">
                  <c:v>0.85160642402924336</c:v>
                </c:pt>
                <c:pt idx="12">
                  <c:v>0.83914390490622892</c:v>
                </c:pt>
                <c:pt idx="13">
                  <c:v>0.82682346572583632</c:v>
                </c:pt>
                <c:pt idx="14">
                  <c:v>0.81464433610458287</c:v>
                </c:pt>
                <c:pt idx="15">
                  <c:v>0.80260573181873196</c:v>
                </c:pt>
                <c:pt idx="16">
                  <c:v>0.79070685521562345</c:v>
                </c:pt>
                <c:pt idx="17">
                  <c:v>0.77894689562437924</c:v>
                </c:pt>
                <c:pt idx="18">
                  <c:v>0.7673250297656955</c:v>
                </c:pt>
                <c:pt idx="19">
                  <c:v>0.75584042216051794</c:v>
                </c:pt>
                <c:pt idx="20">
                  <c:v>0.74449222553735772</c:v>
                </c:pt>
                <c:pt idx="21">
                  <c:v>0.73327958123802961</c:v>
                </c:pt>
                <c:pt idx="22">
                  <c:v>0.72220161962161977</c:v>
                </c:pt>
                <c:pt idx="23">
                  <c:v>0.71125746046644711</c:v>
                </c:pt>
                <c:pt idx="24">
                  <c:v>0.70044621336983282</c:v>
                </c:pt>
              </c:numCache>
            </c:numRef>
          </c:yVal>
          <c:smooth val="0"/>
          <c:extLst>
            <c:ext xmlns:c16="http://schemas.microsoft.com/office/drawing/2014/chart" uri="{C3380CC4-5D6E-409C-BE32-E72D297353CC}">
              <c16:uniqueId val="{00000006-1664-4990-9150-283903C63088}"/>
            </c:ext>
          </c:extLst>
        </c:ser>
        <c:ser>
          <c:idx val="7"/>
          <c:order val="7"/>
          <c:spPr>
            <a:ln w="28575">
              <a:noFill/>
            </a:ln>
          </c:spPr>
          <c:xVal>
            <c:numRef>
              <c:f>TimeValue_1!$B$42:$B$66</c:f>
              <c:numCache>
                <c:formatCode>0.00%</c:formatCode>
                <c:ptCount val="25"/>
                <c:pt idx="0">
                  <c:v>0</c:v>
                </c:pt>
                <c:pt idx="1">
                  <c:v>2.5000000000000001E-3</c:v>
                </c:pt>
                <c:pt idx="2">
                  <c:v>5.0000000000000001E-3</c:v>
                </c:pt>
                <c:pt idx="3">
                  <c:v>7.4999999999999997E-3</c:v>
                </c:pt>
                <c:pt idx="4">
                  <c:v>0.01</c:v>
                </c:pt>
                <c:pt idx="5">
                  <c:v>1.2500000000000001E-2</c:v>
                </c:pt>
                <c:pt idx="6">
                  <c:v>1.4999999999999999E-2</c:v>
                </c:pt>
                <c:pt idx="7">
                  <c:v>1.7500000000000002E-2</c:v>
                </c:pt>
                <c:pt idx="8">
                  <c:v>0.02</c:v>
                </c:pt>
                <c:pt idx="9">
                  <c:v>2.2499999999999999E-2</c:v>
                </c:pt>
                <c:pt idx="10">
                  <c:v>2.5000000000000001E-2</c:v>
                </c:pt>
                <c:pt idx="11">
                  <c:v>2.75E-2</c:v>
                </c:pt>
                <c:pt idx="12">
                  <c:v>0.03</c:v>
                </c:pt>
                <c:pt idx="13">
                  <c:v>3.2500000000000001E-2</c:v>
                </c:pt>
                <c:pt idx="14">
                  <c:v>3.5000000000000003E-2</c:v>
                </c:pt>
                <c:pt idx="15">
                  <c:v>3.7499999999999999E-2</c:v>
                </c:pt>
                <c:pt idx="16">
                  <c:v>0.04</c:v>
                </c:pt>
                <c:pt idx="17">
                  <c:v>4.2500000000000003E-2</c:v>
                </c:pt>
                <c:pt idx="18">
                  <c:v>4.4999999999999998E-2</c:v>
                </c:pt>
                <c:pt idx="19">
                  <c:v>4.7500000000000001E-2</c:v>
                </c:pt>
                <c:pt idx="20">
                  <c:v>0.05</c:v>
                </c:pt>
                <c:pt idx="21">
                  <c:v>5.2499999999999998E-2</c:v>
                </c:pt>
                <c:pt idx="22">
                  <c:v>5.5E-2</c:v>
                </c:pt>
                <c:pt idx="23">
                  <c:v>5.7500000000000002E-2</c:v>
                </c:pt>
                <c:pt idx="24">
                  <c:v>0.06</c:v>
                </c:pt>
              </c:numCache>
            </c:numRef>
          </c:xVal>
          <c:yVal>
            <c:numRef>
              <c:f>TimeValue_1!$P$42:$P$66</c:f>
              <c:numCache>
                <c:formatCode>0.000</c:formatCode>
                <c:ptCount val="25"/>
                <c:pt idx="0">
                  <c:v>0.99631364928497568</c:v>
                </c:pt>
                <c:pt idx="1">
                  <c:v>0.98707724957504339</c:v>
                </c:pt>
                <c:pt idx="2">
                  <c:v>0.97791021887546326</c:v>
                </c:pt>
                <c:pt idx="3">
                  <c:v>0.96881229125685253</c:v>
                </c:pt>
                <c:pt idx="4">
                  <c:v>0.95978319767354636</c:v>
                </c:pt>
                <c:pt idx="5">
                  <c:v>0.95082266604022614</c:v>
                </c:pt>
                <c:pt idx="6">
                  <c:v>0.94193042130812321</c:v>
                </c:pt>
                <c:pt idx="7">
                  <c:v>0.93310618554074742</c:v>
                </c:pt>
                <c:pt idx="8">
                  <c:v>0.92434967798917889</c:v>
                </c:pt>
                <c:pt idx="9">
                  <c:v>0.91566061516685282</c:v>
                </c:pt>
                <c:pt idx="10">
                  <c:v>0.90703871092385435</c:v>
                </c:pt>
                <c:pt idx="11">
                  <c:v>0.89848367652070127</c:v>
                </c:pt>
                <c:pt idx="12">
                  <c:v>0.88999522070159687</c:v>
                </c:pt>
                <c:pt idx="13">
                  <c:v>0.88157304976714712</c:v>
                </c:pt>
                <c:pt idx="14">
                  <c:v>0.87321686764652096</c:v>
                </c:pt>
                <c:pt idx="15">
                  <c:v>0.86492637596904287</c:v>
                </c:pt>
                <c:pt idx="16">
                  <c:v>0.8567012741352189</c:v>
                </c:pt>
                <c:pt idx="17">
                  <c:v>0.84854125938716052</c:v>
                </c:pt>
                <c:pt idx="18">
                  <c:v>0.84044602687841907</c:v>
                </c:pt>
                <c:pt idx="19">
                  <c:v>0.83241526974321078</c:v>
                </c:pt>
                <c:pt idx="20">
                  <c:v>0.82444867916501174</c:v>
                </c:pt>
                <c:pt idx="21">
                  <c:v>0.81654594444453799</c:v>
                </c:pt>
                <c:pt idx="22">
                  <c:v>0.80870675306707607</c:v>
                </c:pt>
                <c:pt idx="23">
                  <c:v>0.80093079076917373</c:v>
                </c:pt>
                <c:pt idx="24">
                  <c:v>0.7932177416046855</c:v>
                </c:pt>
              </c:numCache>
            </c:numRef>
          </c:yVal>
          <c:smooth val="0"/>
          <c:extLst>
            <c:ext xmlns:c16="http://schemas.microsoft.com/office/drawing/2014/chart" uri="{C3380CC4-5D6E-409C-BE32-E72D297353CC}">
              <c16:uniqueId val="{00000007-1664-4990-9150-283903C63088}"/>
            </c:ext>
          </c:extLst>
        </c:ser>
        <c:ser>
          <c:idx val="8"/>
          <c:order val="8"/>
          <c:spPr>
            <a:ln w="28575">
              <a:noFill/>
            </a:ln>
          </c:spPr>
          <c:xVal>
            <c:numRef>
              <c:f>TimeValue_1!$B$42:$B$66</c:f>
              <c:numCache>
                <c:formatCode>0.00%</c:formatCode>
                <c:ptCount val="25"/>
                <c:pt idx="0">
                  <c:v>0</c:v>
                </c:pt>
                <c:pt idx="1">
                  <c:v>2.5000000000000001E-3</c:v>
                </c:pt>
                <c:pt idx="2">
                  <c:v>5.0000000000000001E-3</c:v>
                </c:pt>
                <c:pt idx="3">
                  <c:v>7.4999999999999997E-3</c:v>
                </c:pt>
                <c:pt idx="4">
                  <c:v>0.01</c:v>
                </c:pt>
                <c:pt idx="5">
                  <c:v>1.2500000000000001E-2</c:v>
                </c:pt>
                <c:pt idx="6">
                  <c:v>1.4999999999999999E-2</c:v>
                </c:pt>
                <c:pt idx="7">
                  <c:v>1.7500000000000002E-2</c:v>
                </c:pt>
                <c:pt idx="8">
                  <c:v>0.02</c:v>
                </c:pt>
                <c:pt idx="9">
                  <c:v>2.2499999999999999E-2</c:v>
                </c:pt>
                <c:pt idx="10">
                  <c:v>2.5000000000000001E-2</c:v>
                </c:pt>
                <c:pt idx="11">
                  <c:v>2.75E-2</c:v>
                </c:pt>
                <c:pt idx="12">
                  <c:v>0.03</c:v>
                </c:pt>
                <c:pt idx="13">
                  <c:v>3.2500000000000001E-2</c:v>
                </c:pt>
                <c:pt idx="14">
                  <c:v>3.5000000000000003E-2</c:v>
                </c:pt>
                <c:pt idx="15">
                  <c:v>3.7499999999999999E-2</c:v>
                </c:pt>
                <c:pt idx="16">
                  <c:v>0.04</c:v>
                </c:pt>
                <c:pt idx="17">
                  <c:v>4.2500000000000003E-2</c:v>
                </c:pt>
                <c:pt idx="18">
                  <c:v>4.4999999999999998E-2</c:v>
                </c:pt>
                <c:pt idx="19">
                  <c:v>4.7500000000000001E-2</c:v>
                </c:pt>
                <c:pt idx="20">
                  <c:v>0.05</c:v>
                </c:pt>
                <c:pt idx="21">
                  <c:v>5.2499999999999998E-2</c:v>
                </c:pt>
                <c:pt idx="22">
                  <c:v>5.5E-2</c:v>
                </c:pt>
                <c:pt idx="23">
                  <c:v>5.7500000000000002E-2</c:v>
                </c:pt>
                <c:pt idx="24">
                  <c:v>0.06</c:v>
                </c:pt>
              </c:numCache>
            </c:numRef>
          </c:xVal>
          <c:yVal>
            <c:numRef>
              <c:f>TimeValue_1!$Q$42:$Q$66</c:f>
              <c:numCache>
                <c:formatCode>0.000</c:formatCode>
                <c:ptCount val="25"/>
                <c:pt idx="0">
                  <c:v>0.99265172814648939</c:v>
                </c:pt>
                <c:pt idx="1">
                  <c:v>0.98647340337729239</c:v>
                </c:pt>
                <c:pt idx="2">
                  <c:v>0.98032938108649503</c:v>
                </c:pt>
                <c:pt idx="3">
                  <c:v>0.97421953156644003</c:v>
                </c:pt>
                <c:pt idx="4">
                  <c:v>0.96814372473525445</c:v>
                </c:pt>
                <c:pt idx="5">
                  <c:v>0.96210183015205331</c:v>
                </c:pt>
                <c:pt idx="6">
                  <c:v>0.95609371703197721</c:v>
                </c:pt>
                <c:pt idx="7">
                  <c:v>0.95011925426103216</c:v>
                </c:pt>
                <c:pt idx="8">
                  <c:v>0.94417831041076949</c:v>
                </c:pt>
                <c:pt idx="9">
                  <c:v>0.93827075375276892</c:v>
                </c:pt>
                <c:pt idx="10">
                  <c:v>0.93239645227295209</c:v>
                </c:pt>
                <c:pt idx="11">
                  <c:v>0.92655527368571711</c:v>
                </c:pt>
                <c:pt idx="12">
                  <c:v>0.92074708544789008</c:v>
                </c:pt>
                <c:pt idx="13">
                  <c:v>0.91497175477250836</c:v>
                </c:pt>
                <c:pt idx="14">
                  <c:v>0.90922914864242055</c:v>
                </c:pt>
                <c:pt idx="15">
                  <c:v>0.90351913382371718</c:v>
                </c:pt>
                <c:pt idx="16">
                  <c:v>0.89784157687898247</c:v>
                </c:pt>
                <c:pt idx="17">
                  <c:v>0.89219634418037552</c:v>
                </c:pt>
                <c:pt idx="18">
                  <c:v>0.88658330192253487</c:v>
                </c:pt>
                <c:pt idx="19">
                  <c:v>0.88100231613531976</c:v>
                </c:pt>
                <c:pt idx="20">
                  <c:v>0.87545325269637031</c:v>
                </c:pt>
                <c:pt idx="21">
                  <c:v>0.86993597734350614</c:v>
                </c:pt>
                <c:pt idx="22">
                  <c:v>0.86445035568695028</c:v>
                </c:pt>
                <c:pt idx="23">
                  <c:v>0.85899625322138784</c:v>
                </c:pt>
                <c:pt idx="24">
                  <c:v>0.8535735353378594</c:v>
                </c:pt>
              </c:numCache>
            </c:numRef>
          </c:yVal>
          <c:smooth val="0"/>
          <c:extLst>
            <c:ext xmlns:c16="http://schemas.microsoft.com/office/drawing/2014/chart" uri="{C3380CC4-5D6E-409C-BE32-E72D297353CC}">
              <c16:uniqueId val="{00000008-1664-4990-9150-283903C63088}"/>
            </c:ext>
          </c:extLst>
        </c:ser>
        <c:ser>
          <c:idx val="9"/>
          <c:order val="9"/>
          <c:spPr>
            <a:ln w="28575">
              <a:noFill/>
            </a:ln>
          </c:spPr>
          <c:xVal>
            <c:numRef>
              <c:f>TimeValue_1!$B$42:$B$66</c:f>
              <c:numCache>
                <c:formatCode>0.00%</c:formatCode>
                <c:ptCount val="25"/>
                <c:pt idx="0">
                  <c:v>0</c:v>
                </c:pt>
                <c:pt idx="1">
                  <c:v>2.5000000000000001E-3</c:v>
                </c:pt>
                <c:pt idx="2">
                  <c:v>5.0000000000000001E-3</c:v>
                </c:pt>
                <c:pt idx="3">
                  <c:v>7.4999999999999997E-3</c:v>
                </c:pt>
                <c:pt idx="4">
                  <c:v>0.01</c:v>
                </c:pt>
                <c:pt idx="5">
                  <c:v>1.2500000000000001E-2</c:v>
                </c:pt>
                <c:pt idx="6">
                  <c:v>1.4999999999999999E-2</c:v>
                </c:pt>
                <c:pt idx="7">
                  <c:v>1.7500000000000002E-2</c:v>
                </c:pt>
                <c:pt idx="8">
                  <c:v>0.02</c:v>
                </c:pt>
                <c:pt idx="9">
                  <c:v>2.2499999999999999E-2</c:v>
                </c:pt>
                <c:pt idx="10">
                  <c:v>2.5000000000000001E-2</c:v>
                </c:pt>
                <c:pt idx="11">
                  <c:v>2.75E-2</c:v>
                </c:pt>
                <c:pt idx="12">
                  <c:v>0.03</c:v>
                </c:pt>
                <c:pt idx="13">
                  <c:v>3.2500000000000001E-2</c:v>
                </c:pt>
                <c:pt idx="14">
                  <c:v>3.5000000000000003E-2</c:v>
                </c:pt>
                <c:pt idx="15">
                  <c:v>3.7499999999999999E-2</c:v>
                </c:pt>
                <c:pt idx="16">
                  <c:v>0.04</c:v>
                </c:pt>
                <c:pt idx="17">
                  <c:v>4.2500000000000003E-2</c:v>
                </c:pt>
                <c:pt idx="18">
                  <c:v>4.4999999999999998E-2</c:v>
                </c:pt>
                <c:pt idx="19">
                  <c:v>4.7500000000000001E-2</c:v>
                </c:pt>
                <c:pt idx="20">
                  <c:v>0.05</c:v>
                </c:pt>
                <c:pt idx="21">
                  <c:v>5.2499999999999998E-2</c:v>
                </c:pt>
                <c:pt idx="22">
                  <c:v>5.5E-2</c:v>
                </c:pt>
                <c:pt idx="23">
                  <c:v>5.7500000000000002E-2</c:v>
                </c:pt>
                <c:pt idx="24">
                  <c:v>0.06</c:v>
                </c:pt>
              </c:numCache>
            </c:numRef>
          </c:xVal>
          <c:yVal>
            <c:numRef>
              <c:f>TimeValue_1!$R$42:$R$66</c:f>
              <c:numCache>
                <c:formatCode>0.000</c:formatCode>
                <c:ptCount val="25"/>
                <c:pt idx="0">
                  <c:v>0.98901404393297065</c:v>
                </c:pt>
                <c:pt idx="1">
                  <c:v>0.9841899068009361</c:v>
                </c:pt>
                <c:pt idx="2">
                  <c:v>0.97938838580019227</c:v>
                </c:pt>
                <c:pt idx="3">
                  <c:v>0.97460939580652539</c:v>
                </c:pt>
                <c:pt idx="4">
                  <c:v>0.96985285170548607</c:v>
                </c:pt>
                <c:pt idx="5">
                  <c:v>0.96511866839752014</c:v>
                </c:pt>
                <c:pt idx="6">
                  <c:v>0.96040676080302256</c:v>
                </c:pt>
                <c:pt idx="7">
                  <c:v>0.9557170438673146</c:v>
                </c:pt>
                <c:pt idx="8">
                  <c:v>0.95104943256553742</c:v>
                </c:pt>
                <c:pt idx="9">
                  <c:v>0.94640384190747684</c:v>
                </c:pt>
                <c:pt idx="10">
                  <c:v>0.94178018694230103</c:v>
                </c:pt>
                <c:pt idx="11">
                  <c:v>0.93717838276323606</c:v>
                </c:pt>
                <c:pt idx="12">
                  <c:v>0.93259834451215462</c:v>
                </c:pt>
                <c:pt idx="13">
                  <c:v>0.92803998738409943</c:v>
                </c:pt>
                <c:pt idx="14">
                  <c:v>0.92350322663172524</c:v>
                </c:pt>
                <c:pt idx="15">
                  <c:v>0.91898797756967743</c:v>
                </c:pt>
                <c:pt idx="16">
                  <c:v>0.9144941555788918</c:v>
                </c:pt>
                <c:pt idx="17">
                  <c:v>0.91002167611082718</c:v>
                </c:pt>
                <c:pt idx="18">
                  <c:v>0.90557045469162323</c:v>
                </c:pt>
                <c:pt idx="19">
                  <c:v>0.90114040692619901</c:v>
                </c:pt>
                <c:pt idx="20">
                  <c:v>0.89673144850226716</c:v>
                </c:pt>
                <c:pt idx="21">
                  <c:v>0.89234349519429457</c:v>
                </c:pt>
                <c:pt idx="22">
                  <c:v>0.88797646286738596</c:v>
                </c:pt>
                <c:pt idx="23">
                  <c:v>0.88363026748110862</c:v>
                </c:pt>
                <c:pt idx="24">
                  <c:v>0.87930482509324215</c:v>
                </c:pt>
              </c:numCache>
            </c:numRef>
          </c:yVal>
          <c:smooth val="0"/>
          <c:extLst>
            <c:ext xmlns:c16="http://schemas.microsoft.com/office/drawing/2014/chart" uri="{C3380CC4-5D6E-409C-BE32-E72D297353CC}">
              <c16:uniqueId val="{00000009-1664-4990-9150-283903C63088}"/>
            </c:ext>
          </c:extLst>
        </c:ser>
        <c:ser>
          <c:idx val="10"/>
          <c:order val="10"/>
          <c:spPr>
            <a:ln w="28575">
              <a:noFill/>
            </a:ln>
          </c:spPr>
          <c:xVal>
            <c:numRef>
              <c:f>TimeValue_1!$B$42:$B$66</c:f>
              <c:numCache>
                <c:formatCode>0.00%</c:formatCode>
                <c:ptCount val="25"/>
                <c:pt idx="0">
                  <c:v>0</c:v>
                </c:pt>
                <c:pt idx="1">
                  <c:v>2.5000000000000001E-3</c:v>
                </c:pt>
                <c:pt idx="2">
                  <c:v>5.0000000000000001E-3</c:v>
                </c:pt>
                <c:pt idx="3">
                  <c:v>7.4999999999999997E-3</c:v>
                </c:pt>
                <c:pt idx="4">
                  <c:v>0.01</c:v>
                </c:pt>
                <c:pt idx="5">
                  <c:v>1.2500000000000001E-2</c:v>
                </c:pt>
                <c:pt idx="6">
                  <c:v>1.4999999999999999E-2</c:v>
                </c:pt>
                <c:pt idx="7">
                  <c:v>1.7500000000000002E-2</c:v>
                </c:pt>
                <c:pt idx="8">
                  <c:v>0.02</c:v>
                </c:pt>
                <c:pt idx="9">
                  <c:v>2.2499999999999999E-2</c:v>
                </c:pt>
                <c:pt idx="10">
                  <c:v>2.5000000000000001E-2</c:v>
                </c:pt>
                <c:pt idx="11">
                  <c:v>2.75E-2</c:v>
                </c:pt>
                <c:pt idx="12">
                  <c:v>0.03</c:v>
                </c:pt>
                <c:pt idx="13">
                  <c:v>3.2500000000000001E-2</c:v>
                </c:pt>
                <c:pt idx="14">
                  <c:v>3.5000000000000003E-2</c:v>
                </c:pt>
                <c:pt idx="15">
                  <c:v>3.7499999999999999E-2</c:v>
                </c:pt>
                <c:pt idx="16">
                  <c:v>0.04</c:v>
                </c:pt>
                <c:pt idx="17">
                  <c:v>4.2500000000000003E-2</c:v>
                </c:pt>
                <c:pt idx="18">
                  <c:v>4.4999999999999998E-2</c:v>
                </c:pt>
                <c:pt idx="19">
                  <c:v>4.7500000000000001E-2</c:v>
                </c:pt>
                <c:pt idx="20">
                  <c:v>0.05</c:v>
                </c:pt>
                <c:pt idx="21">
                  <c:v>5.2499999999999998E-2</c:v>
                </c:pt>
                <c:pt idx="22">
                  <c:v>5.5E-2</c:v>
                </c:pt>
                <c:pt idx="23">
                  <c:v>5.7500000000000002E-2</c:v>
                </c:pt>
                <c:pt idx="24">
                  <c:v>0.06</c:v>
                </c:pt>
              </c:numCache>
            </c:numRef>
          </c:xVal>
          <c:yVal>
            <c:numRef>
              <c:f>TimeValue_1!$S$42:$S$66</c:f>
              <c:numCache>
                <c:formatCode>0.000</c:formatCode>
                <c:ptCount val="25"/>
                <c:pt idx="0">
                  <c:v>0.98540040564683251</c:v>
                </c:pt>
                <c:pt idx="1">
                  <c:v>0.98138228260717408</c:v>
                </c:pt>
                <c:pt idx="2">
                  <c:v>0.97738093455389252</c:v>
                </c:pt>
                <c:pt idx="3">
                  <c:v>0.97339629849420162</c:v>
                </c:pt>
                <c:pt idx="4">
                  <c:v>0.96942831153769171</c:v>
                </c:pt>
                <c:pt idx="5">
                  <c:v>0.96547691089832943</c:v>
                </c:pt>
                <c:pt idx="6">
                  <c:v>0.9615420338964269</c:v>
                </c:pt>
                <c:pt idx="7">
                  <c:v>0.95762361796056272</c:v>
                </c:pt>
                <c:pt idx="8">
                  <c:v>0.95372160062947264</c:v>
                </c:pt>
                <c:pt idx="9">
                  <c:v>0.94983591955389635</c:v>
                </c:pt>
                <c:pt idx="10">
                  <c:v>0.94596651249838892</c:v>
                </c:pt>
                <c:pt idx="11">
                  <c:v>0.94211331734309955</c:v>
                </c:pt>
                <c:pt idx="12">
                  <c:v>0.9382762720855059</c:v>
                </c:pt>
                <c:pt idx="13">
                  <c:v>0.93445531484211952</c:v>
                </c:pt>
                <c:pt idx="14">
                  <c:v>0.93065038385015042</c:v>
                </c:pt>
                <c:pt idx="15">
                  <c:v>0.92686141746914352</c:v>
                </c:pt>
                <c:pt idx="16">
                  <c:v>0.92308835418257273</c:v>
                </c:pt>
                <c:pt idx="17">
                  <c:v>0.91933113259940491</c:v>
                </c:pt>
                <c:pt idx="18">
                  <c:v>0.91558969145563185</c:v>
                </c:pt>
                <c:pt idx="19">
                  <c:v>0.91186396961576743</c:v>
                </c:pt>
                <c:pt idx="20">
                  <c:v>0.90815390607430879</c:v>
                </c:pt>
                <c:pt idx="21">
                  <c:v>0.90445943995717126</c:v>
                </c:pt>
                <c:pt idx="22">
                  <c:v>0.90078051052308683</c:v>
                </c:pt>
                <c:pt idx="23">
                  <c:v>0.89711705716497558</c:v>
                </c:pt>
                <c:pt idx="24">
                  <c:v>0.89346901941127876</c:v>
                </c:pt>
              </c:numCache>
            </c:numRef>
          </c:yVal>
          <c:smooth val="0"/>
          <c:extLst>
            <c:ext xmlns:c16="http://schemas.microsoft.com/office/drawing/2014/chart" uri="{C3380CC4-5D6E-409C-BE32-E72D297353CC}">
              <c16:uniqueId val="{0000000A-1664-4990-9150-283903C63088}"/>
            </c:ext>
          </c:extLst>
        </c:ser>
        <c:ser>
          <c:idx val="11"/>
          <c:order val="11"/>
          <c:spPr>
            <a:ln w="28575">
              <a:noFill/>
            </a:ln>
          </c:spPr>
          <c:xVal>
            <c:numRef>
              <c:f>TimeValue_1!$B$42:$B$66</c:f>
              <c:numCache>
                <c:formatCode>0.00%</c:formatCode>
                <c:ptCount val="25"/>
                <c:pt idx="0">
                  <c:v>0</c:v>
                </c:pt>
                <c:pt idx="1">
                  <c:v>2.5000000000000001E-3</c:v>
                </c:pt>
                <c:pt idx="2">
                  <c:v>5.0000000000000001E-3</c:v>
                </c:pt>
                <c:pt idx="3">
                  <c:v>7.4999999999999997E-3</c:v>
                </c:pt>
                <c:pt idx="4">
                  <c:v>0.01</c:v>
                </c:pt>
                <c:pt idx="5">
                  <c:v>1.2500000000000001E-2</c:v>
                </c:pt>
                <c:pt idx="6">
                  <c:v>1.4999999999999999E-2</c:v>
                </c:pt>
                <c:pt idx="7">
                  <c:v>1.7500000000000002E-2</c:v>
                </c:pt>
                <c:pt idx="8">
                  <c:v>0.02</c:v>
                </c:pt>
                <c:pt idx="9">
                  <c:v>2.2499999999999999E-2</c:v>
                </c:pt>
                <c:pt idx="10">
                  <c:v>2.5000000000000001E-2</c:v>
                </c:pt>
                <c:pt idx="11">
                  <c:v>2.75E-2</c:v>
                </c:pt>
                <c:pt idx="12">
                  <c:v>0.03</c:v>
                </c:pt>
                <c:pt idx="13">
                  <c:v>3.2500000000000001E-2</c:v>
                </c:pt>
                <c:pt idx="14">
                  <c:v>3.5000000000000003E-2</c:v>
                </c:pt>
                <c:pt idx="15">
                  <c:v>3.7499999999999999E-2</c:v>
                </c:pt>
                <c:pt idx="16">
                  <c:v>0.04</c:v>
                </c:pt>
                <c:pt idx="17">
                  <c:v>4.2500000000000003E-2</c:v>
                </c:pt>
                <c:pt idx="18">
                  <c:v>4.4999999999999998E-2</c:v>
                </c:pt>
                <c:pt idx="19">
                  <c:v>4.7500000000000001E-2</c:v>
                </c:pt>
                <c:pt idx="20">
                  <c:v>0.05</c:v>
                </c:pt>
                <c:pt idx="21">
                  <c:v>5.2499999999999998E-2</c:v>
                </c:pt>
                <c:pt idx="22">
                  <c:v>5.5E-2</c:v>
                </c:pt>
                <c:pt idx="23">
                  <c:v>5.7500000000000002E-2</c:v>
                </c:pt>
                <c:pt idx="24">
                  <c:v>0.06</c:v>
                </c:pt>
              </c:numCache>
            </c:numRef>
          </c:xVal>
          <c:yVal>
            <c:numRef>
              <c:f>TimeValue_1!$T$42:$T$66</c:f>
              <c:numCache>
                <c:formatCode>0.000</c:formatCode>
                <c:ptCount val="25"/>
                <c:pt idx="0">
                  <c:v>0.98520034920260646</c:v>
                </c:pt>
                <c:pt idx="1">
                  <c:v>0.98121799562052903</c:v>
                </c:pt>
                <c:pt idx="2">
                  <c:v>0.97725217703686262</c:v>
                </c:pt>
                <c:pt idx="3">
                  <c:v>0.97330283136593332</c:v>
                </c:pt>
                <c:pt idx="4">
                  <c:v>0.96936989662683204</c:v>
                </c:pt>
                <c:pt idx="5">
                  <c:v>0.96545331094531506</c:v>
                </c:pt>
                <c:pt idx="6">
                  <c:v>0.96155301255567038</c:v>
                </c:pt>
                <c:pt idx="7">
                  <c:v>0.95766893980254275</c:v>
                </c:pt>
                <c:pt idx="8">
                  <c:v>0.95380103114272341</c:v>
                </c:pt>
                <c:pt idx="9">
                  <c:v>0.94994922514690527</c:v>
                </c:pt>
                <c:pt idx="10">
                  <c:v>0.94611346050139811</c:v>
                </c:pt>
                <c:pt idx="11">
                  <c:v>0.94229367600980851</c:v>
                </c:pt>
                <c:pt idx="12">
                  <c:v>0.93848981059469228</c:v>
                </c:pt>
                <c:pt idx="13">
                  <c:v>0.93470180329916297</c:v>
                </c:pt>
                <c:pt idx="14">
                  <c:v>0.93092959328846836</c:v>
                </c:pt>
                <c:pt idx="15">
                  <c:v>0.92717311985153794</c:v>
                </c:pt>
                <c:pt idx="16">
                  <c:v>0.92343232240249196</c:v>
                </c:pt>
                <c:pt idx="17">
                  <c:v>0.91970714048212066</c:v>
                </c:pt>
                <c:pt idx="18">
                  <c:v>0.91599751375933003</c:v>
                </c:pt>
                <c:pt idx="19">
                  <c:v>0.91230338203255601</c:v>
                </c:pt>
                <c:pt idx="20">
                  <c:v>0.90862468523114803</c:v>
                </c:pt>
                <c:pt idx="21">
                  <c:v>0.90496136341671674</c:v>
                </c:pt>
                <c:pt idx="22">
                  <c:v>0.9013133567844609</c:v>
                </c:pt>
                <c:pt idx="23">
                  <c:v>0.89768060566445262</c:v>
                </c:pt>
                <c:pt idx="24">
                  <c:v>0.89406305052290136</c:v>
                </c:pt>
              </c:numCache>
            </c:numRef>
          </c:yVal>
          <c:smooth val="0"/>
          <c:extLst>
            <c:ext xmlns:c16="http://schemas.microsoft.com/office/drawing/2014/chart" uri="{C3380CC4-5D6E-409C-BE32-E72D297353CC}">
              <c16:uniqueId val="{0000000B-1664-4990-9150-283903C63088}"/>
            </c:ext>
          </c:extLst>
        </c:ser>
        <c:dLbls>
          <c:showLegendKey val="0"/>
          <c:showVal val="0"/>
          <c:showCatName val="0"/>
          <c:showSerName val="0"/>
          <c:showPercent val="0"/>
          <c:showBubbleSize val="0"/>
        </c:dLbls>
        <c:axId val="186353920"/>
        <c:axId val="186368000"/>
      </c:scatterChart>
      <c:valAx>
        <c:axId val="186353920"/>
        <c:scaling>
          <c:orientation val="minMax"/>
        </c:scaling>
        <c:delete val="0"/>
        <c:axPos val="b"/>
        <c:numFmt formatCode="0.00%" sourceLinked="1"/>
        <c:majorTickMark val="out"/>
        <c:minorTickMark val="none"/>
        <c:tickLblPos val="nextTo"/>
        <c:crossAx val="186368000"/>
        <c:crosses val="autoZero"/>
        <c:crossBetween val="midCat"/>
      </c:valAx>
      <c:valAx>
        <c:axId val="186368000"/>
        <c:scaling>
          <c:orientation val="minMax"/>
        </c:scaling>
        <c:delete val="0"/>
        <c:axPos val="l"/>
        <c:majorGridlines/>
        <c:numFmt formatCode="0.000" sourceLinked="1"/>
        <c:majorTickMark val="out"/>
        <c:minorTickMark val="none"/>
        <c:tickLblPos val="nextTo"/>
        <c:crossAx val="186353920"/>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TimeValue_2!$T$3</c:f>
              <c:strCache>
                <c:ptCount val="1"/>
                <c:pt idx="0">
                  <c:v>b(t)/bmax</c:v>
                </c:pt>
              </c:strCache>
            </c:strRef>
          </c:tx>
          <c:spPr>
            <a:ln w="28575">
              <a:noFill/>
            </a:ln>
          </c:spPr>
          <c:xVal>
            <c:numRef>
              <c:f>TimeValue_2!$S$4:$S$21</c:f>
              <c:numCache>
                <c:formatCode>General</c:formatCode>
                <c:ptCount val="18"/>
                <c:pt idx="0">
                  <c:v>2.7397260273972603E-5</c:v>
                </c:pt>
                <c:pt idx="1">
                  <c:v>2.7397260273972603E-3</c:v>
                </c:pt>
                <c:pt idx="2">
                  <c:v>1.9178082191780823E-2</c:v>
                </c:pt>
                <c:pt idx="3">
                  <c:v>3.8356164383561646E-2</c:v>
                </c:pt>
                <c:pt idx="4">
                  <c:v>5.7534246575342465E-2</c:v>
                </c:pt>
                <c:pt idx="5">
                  <c:v>8.2191780821917804E-2</c:v>
                </c:pt>
                <c:pt idx="6">
                  <c:v>0.16438356164383561</c:v>
                </c:pt>
                <c:pt idx="7">
                  <c:v>0.24657534246575341</c:v>
                </c:pt>
                <c:pt idx="8">
                  <c:v>0.32876712328767121</c:v>
                </c:pt>
                <c:pt idx="9">
                  <c:v>0.41095890410958902</c:v>
                </c:pt>
                <c:pt idx="10">
                  <c:v>0.49315068493150682</c:v>
                </c:pt>
                <c:pt idx="11">
                  <c:v>0.57534246575342463</c:v>
                </c:pt>
                <c:pt idx="12">
                  <c:v>0.65753424657534243</c:v>
                </c:pt>
                <c:pt idx="13">
                  <c:v>0.73972602739726023</c:v>
                </c:pt>
                <c:pt idx="14">
                  <c:v>0.82191780821917804</c:v>
                </c:pt>
                <c:pt idx="15">
                  <c:v>0.90410958904109584</c:v>
                </c:pt>
                <c:pt idx="16">
                  <c:v>0.98630136986301364</c:v>
                </c:pt>
                <c:pt idx="17">
                  <c:v>1</c:v>
                </c:pt>
              </c:numCache>
            </c:numRef>
          </c:xVal>
          <c:yVal>
            <c:numRef>
              <c:f>TimeValue_2!$T$4:$T$21</c:f>
              <c:numCache>
                <c:formatCode>General</c:formatCode>
                <c:ptCount val="18"/>
                <c:pt idx="0">
                  <c:v>5.3007852655681904E-3</c:v>
                </c:pt>
                <c:pt idx="1">
                  <c:v>5.3006031553550492E-2</c:v>
                </c:pt>
                <c:pt idx="2">
                  <c:v>0.14021158135970291</c:v>
                </c:pt>
                <c:pt idx="3">
                  <c:v>0.19824096414364301</c:v>
                </c:pt>
                <c:pt idx="4">
                  <c:v>0.24273564574207834</c:v>
                </c:pt>
                <c:pt idx="5">
                  <c:v>0.29003402106374704</c:v>
                </c:pt>
                <c:pt idx="6">
                  <c:v>0.4097435151510202</c:v>
                </c:pt>
                <c:pt idx="7">
                  <c:v>0.50130964305765358</c:v>
                </c:pt>
                <c:pt idx="8">
                  <c:v>0.57826107612027933</c:v>
                </c:pt>
                <c:pt idx="9">
                  <c:v>0.64584409402234355</c:v>
                </c:pt>
                <c:pt idx="10">
                  <c:v>0.70675230593045046</c:v>
                </c:pt>
                <c:pt idx="11">
                  <c:v>0.76258760187081387</c:v>
                </c:pt>
                <c:pt idx="12">
                  <c:v>0.81439484806427143</c:v>
                </c:pt>
                <c:pt idx="13">
                  <c:v>0.86290060849128414</c:v>
                </c:pt>
                <c:pt idx="14">
                  <c:v>0.90863447244764428</c:v>
                </c:pt>
                <c:pt idx="15">
                  <c:v>0.95199667862478987</c:v>
                </c:pt>
                <c:pt idx="16">
                  <c:v>0.99329851730746122</c:v>
                </c:pt>
                <c:pt idx="17">
                  <c:v>1</c:v>
                </c:pt>
              </c:numCache>
            </c:numRef>
          </c:yVal>
          <c:smooth val="0"/>
          <c:extLst>
            <c:ext xmlns:c16="http://schemas.microsoft.com/office/drawing/2014/chart" uri="{C3380CC4-5D6E-409C-BE32-E72D297353CC}">
              <c16:uniqueId val="{00000000-6552-4261-9158-AC8C19DF2A38}"/>
            </c:ext>
          </c:extLst>
        </c:ser>
        <c:ser>
          <c:idx val="1"/>
          <c:order val="1"/>
          <c:tx>
            <c:strRef>
              <c:f>TimeValue_2!$U$3</c:f>
              <c:strCache>
                <c:ptCount val="1"/>
                <c:pt idx="0">
                  <c:v>sqrt(t/tmax)</c:v>
                </c:pt>
              </c:strCache>
            </c:strRef>
          </c:tx>
          <c:spPr>
            <a:ln w="38100">
              <a:solidFill>
                <a:schemeClr val="tx1"/>
              </a:solidFill>
              <a:prstDash val="dash"/>
            </a:ln>
          </c:spPr>
          <c:marker>
            <c:symbol val="none"/>
          </c:marker>
          <c:xVal>
            <c:numRef>
              <c:f>TimeValue_2!$S$4:$S$21</c:f>
              <c:numCache>
                <c:formatCode>General</c:formatCode>
                <c:ptCount val="18"/>
                <c:pt idx="0">
                  <c:v>2.7397260273972603E-5</c:v>
                </c:pt>
                <c:pt idx="1">
                  <c:v>2.7397260273972603E-3</c:v>
                </c:pt>
                <c:pt idx="2">
                  <c:v>1.9178082191780823E-2</c:v>
                </c:pt>
                <c:pt idx="3">
                  <c:v>3.8356164383561646E-2</c:v>
                </c:pt>
                <c:pt idx="4">
                  <c:v>5.7534246575342465E-2</c:v>
                </c:pt>
                <c:pt idx="5">
                  <c:v>8.2191780821917804E-2</c:v>
                </c:pt>
                <c:pt idx="6">
                  <c:v>0.16438356164383561</c:v>
                </c:pt>
                <c:pt idx="7">
                  <c:v>0.24657534246575341</c:v>
                </c:pt>
                <c:pt idx="8">
                  <c:v>0.32876712328767121</c:v>
                </c:pt>
                <c:pt idx="9">
                  <c:v>0.41095890410958902</c:v>
                </c:pt>
                <c:pt idx="10">
                  <c:v>0.49315068493150682</c:v>
                </c:pt>
                <c:pt idx="11">
                  <c:v>0.57534246575342463</c:v>
                </c:pt>
                <c:pt idx="12">
                  <c:v>0.65753424657534243</c:v>
                </c:pt>
                <c:pt idx="13">
                  <c:v>0.73972602739726023</c:v>
                </c:pt>
                <c:pt idx="14">
                  <c:v>0.82191780821917804</c:v>
                </c:pt>
                <c:pt idx="15">
                  <c:v>0.90410958904109584</c:v>
                </c:pt>
                <c:pt idx="16">
                  <c:v>0.98630136986301364</c:v>
                </c:pt>
                <c:pt idx="17">
                  <c:v>1</c:v>
                </c:pt>
              </c:numCache>
            </c:numRef>
          </c:xVal>
          <c:yVal>
            <c:numRef>
              <c:f>TimeValue_2!$U$4:$U$21</c:f>
              <c:numCache>
                <c:formatCode>General</c:formatCode>
                <c:ptCount val="18"/>
                <c:pt idx="0">
                  <c:v>5.2342392259021372E-3</c:v>
                </c:pt>
                <c:pt idx="1">
                  <c:v>5.2342392259021368E-2</c:v>
                </c:pt>
                <c:pt idx="2">
                  <c:v>0.13848495294356286</c:v>
                </c:pt>
                <c:pt idx="3">
                  <c:v>0.19584729863738648</c:v>
                </c:pt>
                <c:pt idx="4">
                  <c:v>0.23986297458203604</c:v>
                </c:pt>
                <c:pt idx="5">
                  <c:v>0.28669108954049793</c:v>
                </c:pt>
                <c:pt idx="6">
                  <c:v>0.40544242703969158</c:v>
                </c:pt>
                <c:pt idx="7">
                  <c:v>0.49656353316142077</c:v>
                </c:pt>
                <c:pt idx="8">
                  <c:v>0.57338217908099587</c:v>
                </c:pt>
                <c:pt idx="9">
                  <c:v>0.64106076475603235</c:v>
                </c:pt>
                <c:pt idx="10">
                  <c:v>0.70224688317678341</c:v>
                </c:pt>
                <c:pt idx="11">
                  <c:v>0.75851332602230837</c:v>
                </c:pt>
                <c:pt idx="12">
                  <c:v>0.81088485407938315</c:v>
                </c:pt>
                <c:pt idx="13">
                  <c:v>0.8600732686214938</c:v>
                </c:pt>
                <c:pt idx="14">
                  <c:v>0.90659682782324913</c:v>
                </c:pt>
                <c:pt idx="15">
                  <c:v>0.95084677474401513</c:v>
                </c:pt>
                <c:pt idx="16">
                  <c:v>0.99312706632284153</c:v>
                </c:pt>
                <c:pt idx="17">
                  <c:v>1</c:v>
                </c:pt>
              </c:numCache>
            </c:numRef>
          </c:yVal>
          <c:smooth val="0"/>
          <c:extLst>
            <c:ext xmlns:c16="http://schemas.microsoft.com/office/drawing/2014/chart" uri="{C3380CC4-5D6E-409C-BE32-E72D297353CC}">
              <c16:uniqueId val="{00000001-6552-4261-9158-AC8C19DF2A38}"/>
            </c:ext>
          </c:extLst>
        </c:ser>
        <c:dLbls>
          <c:showLegendKey val="0"/>
          <c:showVal val="0"/>
          <c:showCatName val="0"/>
          <c:showSerName val="0"/>
          <c:showPercent val="0"/>
          <c:showBubbleSize val="0"/>
        </c:dLbls>
        <c:axId val="186098816"/>
        <c:axId val="186100352"/>
      </c:scatterChart>
      <c:valAx>
        <c:axId val="186098816"/>
        <c:scaling>
          <c:orientation val="minMax"/>
        </c:scaling>
        <c:delete val="0"/>
        <c:axPos val="b"/>
        <c:numFmt formatCode="General" sourceLinked="1"/>
        <c:majorTickMark val="out"/>
        <c:minorTickMark val="none"/>
        <c:tickLblPos val="nextTo"/>
        <c:crossAx val="186100352"/>
        <c:crosses val="autoZero"/>
        <c:crossBetween val="midCat"/>
      </c:valAx>
      <c:valAx>
        <c:axId val="186100352"/>
        <c:scaling>
          <c:orientation val="minMax"/>
        </c:scaling>
        <c:delete val="0"/>
        <c:axPos val="l"/>
        <c:majorGridlines/>
        <c:numFmt formatCode="General" sourceLinked="1"/>
        <c:majorTickMark val="out"/>
        <c:minorTickMark val="none"/>
        <c:tickLblPos val="nextTo"/>
        <c:crossAx val="186098816"/>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TimeValue_2!$O$3</c:f>
              <c:strCache>
                <c:ptCount val="1"/>
                <c:pt idx="0">
                  <c:v>N(d1)-0.5</c:v>
                </c:pt>
              </c:strCache>
            </c:strRef>
          </c:tx>
          <c:spPr>
            <a:ln w="28575">
              <a:noFill/>
            </a:ln>
          </c:spPr>
          <c:trendline>
            <c:trendlineType val="linear"/>
            <c:intercept val="0"/>
            <c:dispRSqr val="1"/>
            <c:dispEq val="1"/>
            <c:trendlineLbl>
              <c:layout>
                <c:manualLayout>
                  <c:x val="-0.14964654418197726"/>
                  <c:y val="5.3568460192475943E-2"/>
                </c:manualLayout>
              </c:layout>
              <c:numFmt formatCode="General" sourceLinked="0"/>
            </c:trendlineLbl>
          </c:trendline>
          <c:xVal>
            <c:numRef>
              <c:f>TimeValue_2!$N$4:$N$21</c:f>
              <c:numCache>
                <c:formatCode>General</c:formatCode>
                <c:ptCount val="18"/>
                <c:pt idx="0">
                  <c:v>2.6171196129510686E-4</c:v>
                </c:pt>
                <c:pt idx="1">
                  <c:v>2.6171196129510686E-3</c:v>
                </c:pt>
                <c:pt idx="2">
                  <c:v>6.9242476471781432E-3</c:v>
                </c:pt>
                <c:pt idx="3">
                  <c:v>9.7923649318693243E-3</c:v>
                </c:pt>
                <c:pt idx="4">
                  <c:v>1.1993148729101802E-2</c:v>
                </c:pt>
                <c:pt idx="5">
                  <c:v>1.4334554477024898E-2</c:v>
                </c:pt>
                <c:pt idx="6">
                  <c:v>2.0272121351984581E-2</c:v>
                </c:pt>
                <c:pt idx="7">
                  <c:v>2.4828176658071039E-2</c:v>
                </c:pt>
                <c:pt idx="8">
                  <c:v>2.8669108954049796E-2</c:v>
                </c:pt>
                <c:pt idx="9">
                  <c:v>3.2053038237801618E-2</c:v>
                </c:pt>
                <c:pt idx="10">
                  <c:v>3.5112344158839175E-2</c:v>
                </c:pt>
                <c:pt idx="11">
                  <c:v>3.7925666301115421E-2</c:v>
                </c:pt>
                <c:pt idx="12">
                  <c:v>4.0544242703969162E-2</c:v>
                </c:pt>
                <c:pt idx="13">
                  <c:v>4.3003663431074694E-2</c:v>
                </c:pt>
                <c:pt idx="14">
                  <c:v>4.5329841391162459E-2</c:v>
                </c:pt>
                <c:pt idx="15">
                  <c:v>4.7542338737200762E-2</c:v>
                </c:pt>
                <c:pt idx="16">
                  <c:v>4.9656353316142078E-2</c:v>
                </c:pt>
                <c:pt idx="17">
                  <c:v>0.05</c:v>
                </c:pt>
              </c:numCache>
            </c:numRef>
          </c:xVal>
          <c:yVal>
            <c:numRef>
              <c:f>TimeValue_2!$O$4:$O$21</c:f>
              <c:numCache>
                <c:formatCode>General</c:formatCode>
                <c:ptCount val="18"/>
                <c:pt idx="0">
                  <c:v>1.0440796545552189E-4</c:v>
                </c:pt>
                <c:pt idx="1">
                  <c:v>1.044078474603527E-3</c:v>
                </c:pt>
                <c:pt idx="2">
                  <c:v>2.7623530728142498E-3</c:v>
                </c:pt>
                <c:pt idx="3">
                  <c:v>3.9065259632797833E-3</c:v>
                </c:pt>
                <c:pt idx="4">
                  <c:v>4.7844594069617052E-3</c:v>
                </c:pt>
                <c:pt idx="5">
                  <c:v>5.718464013123592E-3</c:v>
                </c:pt>
                <c:pt idx="6">
                  <c:v>8.0868524229402716E-3</c:v>
                </c:pt>
                <c:pt idx="7">
                  <c:v>9.903991870316764E-3</c:v>
                </c:pt>
                <c:pt idx="8">
                  <c:v>1.1435753140224825E-2</c:v>
                </c:pt>
                <c:pt idx="9">
                  <c:v>1.2785122897533308E-2</c:v>
                </c:pt>
                <c:pt idx="10">
                  <c:v>1.400492086638927E-2</c:v>
                </c:pt>
                <c:pt idx="11">
                  <c:v>1.5126525491149234E-2</c:v>
                </c:pt>
                <c:pt idx="12">
                  <c:v>1.6170382278426265E-2</c:v>
                </c:pt>
                <c:pt idx="13">
                  <c:v>1.715069321938989E-2</c:v>
                </c:pt>
                <c:pt idx="14">
                  <c:v>1.8077799055844279E-2</c:v>
                </c:pt>
                <c:pt idx="15">
                  <c:v>1.895950648269773E-2</c:v>
                </c:pt>
                <c:pt idx="16">
                  <c:v>1.9801880734942268E-2</c:v>
                </c:pt>
                <c:pt idx="17">
                  <c:v>1.9938805838372486E-2</c:v>
                </c:pt>
              </c:numCache>
            </c:numRef>
          </c:yVal>
          <c:smooth val="0"/>
          <c:extLst>
            <c:ext xmlns:c16="http://schemas.microsoft.com/office/drawing/2014/chart" uri="{C3380CC4-5D6E-409C-BE32-E72D297353CC}">
              <c16:uniqueId val="{00000000-E89D-4DFE-90F1-C0BA00E20E23}"/>
            </c:ext>
          </c:extLst>
        </c:ser>
        <c:ser>
          <c:idx val="1"/>
          <c:order val="1"/>
          <c:tx>
            <c:strRef>
              <c:f>TimeValue_2!$P$3</c:f>
              <c:strCache>
                <c:ptCount val="1"/>
                <c:pt idx="0">
                  <c:v>d1/sqrt(2*pi)</c:v>
                </c:pt>
              </c:strCache>
            </c:strRef>
          </c:tx>
          <c:spPr>
            <a:ln w="38100">
              <a:solidFill>
                <a:schemeClr val="tx1"/>
              </a:solidFill>
              <a:prstDash val="dash"/>
            </a:ln>
          </c:spPr>
          <c:marker>
            <c:symbol val="none"/>
          </c:marker>
          <c:xVal>
            <c:numRef>
              <c:f>TimeValue_2!$N$4:$N$21</c:f>
              <c:numCache>
                <c:formatCode>General</c:formatCode>
                <c:ptCount val="18"/>
                <c:pt idx="0">
                  <c:v>2.6171196129510686E-4</c:v>
                </c:pt>
                <c:pt idx="1">
                  <c:v>2.6171196129510686E-3</c:v>
                </c:pt>
                <c:pt idx="2">
                  <c:v>6.9242476471781432E-3</c:v>
                </c:pt>
                <c:pt idx="3">
                  <c:v>9.7923649318693243E-3</c:v>
                </c:pt>
                <c:pt idx="4">
                  <c:v>1.1993148729101802E-2</c:v>
                </c:pt>
                <c:pt idx="5">
                  <c:v>1.4334554477024898E-2</c:v>
                </c:pt>
                <c:pt idx="6">
                  <c:v>2.0272121351984581E-2</c:v>
                </c:pt>
                <c:pt idx="7">
                  <c:v>2.4828176658071039E-2</c:v>
                </c:pt>
                <c:pt idx="8">
                  <c:v>2.8669108954049796E-2</c:v>
                </c:pt>
                <c:pt idx="9">
                  <c:v>3.2053038237801618E-2</c:v>
                </c:pt>
                <c:pt idx="10">
                  <c:v>3.5112344158839175E-2</c:v>
                </c:pt>
                <c:pt idx="11">
                  <c:v>3.7925666301115421E-2</c:v>
                </c:pt>
                <c:pt idx="12">
                  <c:v>4.0544242703969162E-2</c:v>
                </c:pt>
                <c:pt idx="13">
                  <c:v>4.3003663431074694E-2</c:v>
                </c:pt>
                <c:pt idx="14">
                  <c:v>4.5329841391162459E-2</c:v>
                </c:pt>
                <c:pt idx="15">
                  <c:v>4.7542338737200762E-2</c:v>
                </c:pt>
                <c:pt idx="16">
                  <c:v>4.9656353316142078E-2</c:v>
                </c:pt>
                <c:pt idx="17">
                  <c:v>0.05</c:v>
                </c:pt>
              </c:numCache>
            </c:numRef>
          </c:xVal>
          <c:yVal>
            <c:numRef>
              <c:f>TimeValue_2!$P$4:$P$21</c:f>
              <c:numCache>
                <c:formatCode>General</c:formatCode>
                <c:ptCount val="18"/>
                <c:pt idx="0">
                  <c:v>1.0440796664740142E-4</c:v>
                </c:pt>
                <c:pt idx="1">
                  <c:v>1.0440796664740143E-3</c:v>
                </c:pt>
                <c:pt idx="2">
                  <c:v>2.7623751464295036E-3</c:v>
                </c:pt>
                <c:pt idx="3">
                  <c:v>3.9065883964429686E-3</c:v>
                </c:pt>
                <c:pt idx="4">
                  <c:v>4.7845741031814172E-3</c:v>
                </c:pt>
                <c:pt idx="5">
                  <c:v>5.7186598516028794E-3</c:v>
                </c:pt>
                <c:pt idx="6">
                  <c:v>8.0874063207353047E-3</c:v>
                </c:pt>
                <c:pt idx="7">
                  <c:v>9.9050094141804827E-3</c:v>
                </c:pt>
                <c:pt idx="8">
                  <c:v>1.1437319703205759E-2</c:v>
                </c:pt>
                <c:pt idx="9">
                  <c:v>1.2787312168382898E-2</c:v>
                </c:pt>
                <c:pt idx="10">
                  <c:v>1.4007798648967226E-2</c:v>
                </c:pt>
                <c:pt idx="11">
                  <c:v>1.5130151799910755E-2</c:v>
                </c:pt>
                <c:pt idx="12">
                  <c:v>1.6174812641470609E-2</c:v>
                </c:pt>
                <c:pt idx="13">
                  <c:v>1.7155979554808638E-2</c:v>
                </c:pt>
                <c:pt idx="14">
                  <c:v>1.8083990294825606E-2</c:v>
                </c:pt>
                <c:pt idx="15">
                  <c:v>1.8966649031436245E-2</c:v>
                </c:pt>
                <c:pt idx="16">
                  <c:v>1.9810018828360965E-2</c:v>
                </c:pt>
                <c:pt idx="17">
                  <c:v>1.9947114020071637E-2</c:v>
                </c:pt>
              </c:numCache>
            </c:numRef>
          </c:yVal>
          <c:smooth val="0"/>
          <c:extLst>
            <c:ext xmlns:c16="http://schemas.microsoft.com/office/drawing/2014/chart" uri="{C3380CC4-5D6E-409C-BE32-E72D297353CC}">
              <c16:uniqueId val="{00000001-E89D-4DFE-90F1-C0BA00E20E23}"/>
            </c:ext>
          </c:extLst>
        </c:ser>
        <c:dLbls>
          <c:showLegendKey val="0"/>
          <c:showVal val="0"/>
          <c:showCatName val="0"/>
          <c:showSerName val="0"/>
          <c:showPercent val="0"/>
          <c:showBubbleSize val="0"/>
        </c:dLbls>
        <c:axId val="185798656"/>
        <c:axId val="185800192"/>
      </c:scatterChart>
      <c:valAx>
        <c:axId val="185798656"/>
        <c:scaling>
          <c:orientation val="minMax"/>
        </c:scaling>
        <c:delete val="0"/>
        <c:axPos val="b"/>
        <c:numFmt formatCode="General" sourceLinked="1"/>
        <c:majorTickMark val="out"/>
        <c:minorTickMark val="none"/>
        <c:tickLblPos val="nextTo"/>
        <c:crossAx val="185800192"/>
        <c:crosses val="autoZero"/>
        <c:crossBetween val="midCat"/>
      </c:valAx>
      <c:valAx>
        <c:axId val="185800192"/>
        <c:scaling>
          <c:orientation val="minMax"/>
        </c:scaling>
        <c:delete val="0"/>
        <c:axPos val="l"/>
        <c:majorGridlines/>
        <c:numFmt formatCode="General" sourceLinked="1"/>
        <c:majorTickMark val="out"/>
        <c:minorTickMark val="none"/>
        <c:tickLblPos val="nextTo"/>
        <c:crossAx val="185798656"/>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poly"/>
            <c:order val="2"/>
            <c:intercept val="0"/>
            <c:dispRSqr val="1"/>
            <c:dispEq val="1"/>
            <c:trendlineLbl>
              <c:numFmt formatCode="General" sourceLinked="0"/>
            </c:trendlineLbl>
          </c:trendline>
          <c:xVal>
            <c:numRef>
              <c:f>TimeValue_2!$F$27:$P$27</c:f>
              <c:numCache>
                <c:formatCode>0.00</c:formatCode>
                <c:ptCount val="11"/>
                <c:pt idx="0">
                  <c:v>7.2210011177714923</c:v>
                </c:pt>
                <c:pt idx="1">
                  <c:v>5.1060188573318621</c:v>
                </c:pt>
                <c:pt idx="2">
                  <c:v>4.1690469391639597</c:v>
                </c:pt>
                <c:pt idx="3">
                  <c:v>3.6105005588857462</c:v>
                </c:pt>
                <c:pt idx="4">
                  <c:v>3.2293298729878046</c:v>
                </c:pt>
                <c:pt idx="5">
                  <c:v>2.9479613617678559</c:v>
                </c:pt>
                <c:pt idx="6">
                  <c:v>2.0138409955990952</c:v>
                </c:pt>
                <c:pt idx="7">
                  <c:v>1.4240006242195884</c:v>
                </c:pt>
                <c:pt idx="8">
                  <c:v>1.1626916409142416</c:v>
                </c:pt>
                <c:pt idx="9">
                  <c:v>1.0069204977995476</c:v>
                </c:pt>
                <c:pt idx="10">
                  <c:v>1</c:v>
                </c:pt>
              </c:numCache>
            </c:numRef>
          </c:xVal>
          <c:yVal>
            <c:numRef>
              <c:f>TimeValue_2!$F$30:$P$30</c:f>
              <c:numCache>
                <c:formatCode>0.00</c:formatCode>
                <c:ptCount val="11"/>
                <c:pt idx="0">
                  <c:v>170.01575609032147</c:v>
                </c:pt>
                <c:pt idx="1">
                  <c:v>101.15797494182632</c:v>
                </c:pt>
                <c:pt idx="2">
                  <c:v>75.986359565458031</c:v>
                </c:pt>
                <c:pt idx="3">
                  <c:v>62.475293410916315</c:v>
                </c:pt>
                <c:pt idx="4">
                  <c:v>53.87765196748623</c:v>
                </c:pt>
                <c:pt idx="5">
                  <c:v>47.848327380695252</c:v>
                </c:pt>
                <c:pt idx="6">
                  <c:v>29.700904051736114</c:v>
                </c:pt>
                <c:pt idx="7">
                  <c:v>19.659409378101838</c:v>
                </c:pt>
                <c:pt idx="8">
                  <c:v>15.54541828217301</c:v>
                </c:pt>
                <c:pt idx="9">
                  <c:v>13.188377359230394</c:v>
                </c:pt>
                <c:pt idx="10">
                  <c:v>13.085303410030292</c:v>
                </c:pt>
              </c:numCache>
            </c:numRef>
          </c:yVal>
          <c:smooth val="0"/>
          <c:extLst>
            <c:ext xmlns:c16="http://schemas.microsoft.com/office/drawing/2014/chart" uri="{C3380CC4-5D6E-409C-BE32-E72D297353CC}">
              <c16:uniqueId val="{00000000-F55D-41DE-BEC5-C6DF73F352F1}"/>
            </c:ext>
          </c:extLst>
        </c:ser>
        <c:ser>
          <c:idx val="1"/>
          <c:order val="1"/>
          <c:spPr>
            <a:ln w="28575">
              <a:noFill/>
            </a:ln>
          </c:spPr>
          <c:trendline>
            <c:trendlineType val="poly"/>
            <c:order val="2"/>
            <c:intercept val="0"/>
            <c:dispRSqr val="1"/>
            <c:dispEq val="1"/>
            <c:trendlineLbl>
              <c:layout>
                <c:manualLayout>
                  <c:x val="7.5890159914177274E-2"/>
                  <c:y val="-0.13349487490246922"/>
                </c:manualLayout>
              </c:layout>
              <c:numFmt formatCode="General" sourceLinked="0"/>
            </c:trendlineLbl>
          </c:trendline>
          <c:xVal>
            <c:numRef>
              <c:f>TimeValue_2!$F$27:$P$27</c:f>
              <c:numCache>
                <c:formatCode>0.00</c:formatCode>
                <c:ptCount val="11"/>
                <c:pt idx="0">
                  <c:v>7.2210011177714923</c:v>
                </c:pt>
                <c:pt idx="1">
                  <c:v>5.1060188573318621</c:v>
                </c:pt>
                <c:pt idx="2">
                  <c:v>4.1690469391639597</c:v>
                </c:pt>
                <c:pt idx="3">
                  <c:v>3.6105005588857462</c:v>
                </c:pt>
                <c:pt idx="4">
                  <c:v>3.2293298729878046</c:v>
                </c:pt>
                <c:pt idx="5">
                  <c:v>2.9479613617678559</c:v>
                </c:pt>
                <c:pt idx="6">
                  <c:v>2.0138409955990952</c:v>
                </c:pt>
                <c:pt idx="7">
                  <c:v>1.4240006242195884</c:v>
                </c:pt>
                <c:pt idx="8">
                  <c:v>1.1626916409142416</c:v>
                </c:pt>
                <c:pt idx="9">
                  <c:v>1.0069204977995476</c:v>
                </c:pt>
                <c:pt idx="10">
                  <c:v>1</c:v>
                </c:pt>
              </c:numCache>
            </c:numRef>
          </c:xVal>
          <c:yVal>
            <c:numRef>
              <c:f>TimeValue_2!$F$31:$P$31</c:f>
              <c:numCache>
                <c:formatCode>0.00</c:formatCode>
                <c:ptCount val="11"/>
                <c:pt idx="0">
                  <c:v>92.970556718181911</c:v>
                </c:pt>
                <c:pt idx="1">
                  <c:v>57.755878553166625</c:v>
                </c:pt>
                <c:pt idx="2">
                  <c:v>44.362542336557745</c:v>
                </c:pt>
                <c:pt idx="3">
                  <c:v>36.995179304057665</c:v>
                </c:pt>
                <c:pt idx="4">
                  <c:v>32.224598080802011</c:v>
                </c:pt>
                <c:pt idx="5">
                  <c:v>28.834286048473508</c:v>
                </c:pt>
                <c:pt idx="6">
                  <c:v>18.355585954171289</c:v>
                </c:pt>
                <c:pt idx="7">
                  <c:v>12.334936439332743</c:v>
                </c:pt>
                <c:pt idx="8">
                  <c:v>9.8123656486652635</c:v>
                </c:pt>
                <c:pt idx="9">
                  <c:v>8.3517325530270128</c:v>
                </c:pt>
                <c:pt idx="10">
                  <c:v>8.2876120669889914</c:v>
                </c:pt>
              </c:numCache>
            </c:numRef>
          </c:yVal>
          <c:smooth val="0"/>
          <c:extLst>
            <c:ext xmlns:c16="http://schemas.microsoft.com/office/drawing/2014/chart" uri="{C3380CC4-5D6E-409C-BE32-E72D297353CC}">
              <c16:uniqueId val="{00000001-F55D-41DE-BEC5-C6DF73F352F1}"/>
            </c:ext>
          </c:extLst>
        </c:ser>
        <c:ser>
          <c:idx val="2"/>
          <c:order val="2"/>
          <c:spPr>
            <a:ln w="28575">
              <a:noFill/>
            </a:ln>
          </c:spPr>
          <c:trendline>
            <c:trendlineType val="poly"/>
            <c:order val="2"/>
            <c:intercept val="0"/>
            <c:dispRSqr val="1"/>
            <c:dispEq val="1"/>
            <c:trendlineLbl>
              <c:layout>
                <c:manualLayout>
                  <c:x val="7.9736313372066089E-2"/>
                  <c:y val="-7.7922185609818534E-2"/>
                </c:manualLayout>
              </c:layout>
              <c:numFmt formatCode="General" sourceLinked="0"/>
            </c:trendlineLbl>
          </c:trendline>
          <c:xVal>
            <c:numRef>
              <c:f>TimeValue_2!$F$27:$P$27</c:f>
              <c:numCache>
                <c:formatCode>0.00</c:formatCode>
                <c:ptCount val="11"/>
                <c:pt idx="0">
                  <c:v>7.2210011177714923</c:v>
                </c:pt>
                <c:pt idx="1">
                  <c:v>5.1060188573318621</c:v>
                </c:pt>
                <c:pt idx="2">
                  <c:v>4.1690469391639597</c:v>
                </c:pt>
                <c:pt idx="3">
                  <c:v>3.6105005588857462</c:v>
                </c:pt>
                <c:pt idx="4">
                  <c:v>3.2293298729878046</c:v>
                </c:pt>
                <c:pt idx="5">
                  <c:v>2.9479613617678559</c:v>
                </c:pt>
                <c:pt idx="6">
                  <c:v>2.0138409955990952</c:v>
                </c:pt>
                <c:pt idx="7">
                  <c:v>1.4240006242195884</c:v>
                </c:pt>
                <c:pt idx="8">
                  <c:v>1.1626916409142416</c:v>
                </c:pt>
                <c:pt idx="9">
                  <c:v>1.0069204977995476</c:v>
                </c:pt>
                <c:pt idx="10">
                  <c:v>1</c:v>
                </c:pt>
              </c:numCache>
            </c:numRef>
          </c:xVal>
          <c:yVal>
            <c:numRef>
              <c:f>TimeValue_2!$F$32:$P$32</c:f>
              <c:numCache>
                <c:formatCode>0.00</c:formatCode>
                <c:ptCount val="11"/>
                <c:pt idx="0">
                  <c:v>62.475293410916315</c:v>
                </c:pt>
                <c:pt idx="1">
                  <c:v>39.830130925057212</c:v>
                </c:pt>
                <c:pt idx="2">
                  <c:v>30.976201947532516</c:v>
                </c:pt>
                <c:pt idx="3">
                  <c:v>26.028135068998701</c:v>
                </c:pt>
                <c:pt idx="4">
                  <c:v>22.789427844915842</c:v>
                </c:pt>
                <c:pt idx="5">
                  <c:v>20.469353661069043</c:v>
                </c:pt>
                <c:pt idx="6">
                  <c:v>13.188377359230394</c:v>
                </c:pt>
                <c:pt idx="7">
                  <c:v>8.9205340361275915</c:v>
                </c:pt>
                <c:pt idx="8">
                  <c:v>7.1141911987854822</c:v>
                </c:pt>
                <c:pt idx="9">
                  <c:v>6.0648977296020874</c:v>
                </c:pt>
                <c:pt idx="10">
                  <c:v>6.0188097555579843</c:v>
                </c:pt>
              </c:numCache>
            </c:numRef>
          </c:yVal>
          <c:smooth val="0"/>
          <c:extLst>
            <c:ext xmlns:c16="http://schemas.microsoft.com/office/drawing/2014/chart" uri="{C3380CC4-5D6E-409C-BE32-E72D297353CC}">
              <c16:uniqueId val="{00000002-F55D-41DE-BEC5-C6DF73F352F1}"/>
            </c:ext>
          </c:extLst>
        </c:ser>
        <c:ser>
          <c:idx val="3"/>
          <c:order val="3"/>
          <c:spPr>
            <a:ln w="28575">
              <a:noFill/>
            </a:ln>
          </c:spPr>
          <c:trendline>
            <c:trendlineType val="poly"/>
            <c:order val="2"/>
            <c:intercept val="0"/>
            <c:dispRSqr val="1"/>
            <c:dispEq val="1"/>
            <c:trendlineLbl>
              <c:layout>
                <c:manualLayout>
                  <c:x val="0.14082130619611283"/>
                  <c:y val="-1.9257399166471182E-2"/>
                </c:manualLayout>
              </c:layout>
              <c:numFmt formatCode="General" sourceLinked="0"/>
            </c:trendlineLbl>
          </c:trendline>
          <c:xVal>
            <c:numRef>
              <c:f>TimeValue_2!$F$27:$P$27</c:f>
              <c:numCache>
                <c:formatCode>0.00</c:formatCode>
                <c:ptCount val="11"/>
                <c:pt idx="0">
                  <c:v>7.2210011177714923</c:v>
                </c:pt>
                <c:pt idx="1">
                  <c:v>5.1060188573318621</c:v>
                </c:pt>
                <c:pt idx="2">
                  <c:v>4.1690469391639597</c:v>
                </c:pt>
                <c:pt idx="3">
                  <c:v>3.6105005588857462</c:v>
                </c:pt>
                <c:pt idx="4">
                  <c:v>3.2293298729878046</c:v>
                </c:pt>
                <c:pt idx="5">
                  <c:v>2.9479613617678559</c:v>
                </c:pt>
                <c:pt idx="6">
                  <c:v>2.0138409955990952</c:v>
                </c:pt>
                <c:pt idx="7">
                  <c:v>1.4240006242195884</c:v>
                </c:pt>
                <c:pt idx="8">
                  <c:v>1.1626916409142416</c:v>
                </c:pt>
                <c:pt idx="9">
                  <c:v>1.0069204977995476</c:v>
                </c:pt>
                <c:pt idx="10">
                  <c:v>1</c:v>
                </c:pt>
              </c:numCache>
            </c:numRef>
          </c:xVal>
          <c:yVal>
            <c:numRef>
              <c:f>TimeValue_2!$F$33:$P$33</c:f>
              <c:numCache>
                <c:formatCode>0.00</c:formatCode>
                <c:ptCount val="11"/>
                <c:pt idx="0">
                  <c:v>46.606092693520381</c:v>
                </c:pt>
                <c:pt idx="1">
                  <c:v>30.214433566691724</c:v>
                </c:pt>
                <c:pt idx="2">
                  <c:v>23.678191917633491</c:v>
                </c:pt>
                <c:pt idx="3">
                  <c:v>19.985852692519167</c:v>
                </c:pt>
                <c:pt idx="4">
                  <c:v>17.551803681288693</c:v>
                </c:pt>
                <c:pt idx="5">
                  <c:v>15.799132745346011</c:v>
                </c:pt>
                <c:pt idx="6">
                  <c:v>10.246238173757176</c:v>
                </c:pt>
                <c:pt idx="7">
                  <c:v>6.9545545191452138</c:v>
                </c:pt>
                <c:pt idx="8">
                  <c:v>5.556415181669756</c:v>
                </c:pt>
                <c:pt idx="9">
                  <c:v>4.7453892302396632</c:v>
                </c:pt>
                <c:pt idx="10">
                  <c:v>4.7098311860347479</c:v>
                </c:pt>
              </c:numCache>
            </c:numRef>
          </c:yVal>
          <c:smooth val="0"/>
          <c:extLst>
            <c:ext xmlns:c16="http://schemas.microsoft.com/office/drawing/2014/chart" uri="{C3380CC4-5D6E-409C-BE32-E72D297353CC}">
              <c16:uniqueId val="{00000003-F55D-41DE-BEC5-C6DF73F352F1}"/>
            </c:ext>
          </c:extLst>
        </c:ser>
        <c:ser>
          <c:idx val="4"/>
          <c:order val="4"/>
          <c:spPr>
            <a:ln w="28575">
              <a:noFill/>
            </a:ln>
          </c:spPr>
          <c:xVal>
            <c:numRef>
              <c:f>TimeValue_2!$F$27:$P$27</c:f>
              <c:numCache>
                <c:formatCode>0.00</c:formatCode>
                <c:ptCount val="11"/>
                <c:pt idx="0">
                  <c:v>7.2210011177714923</c:v>
                </c:pt>
                <c:pt idx="1">
                  <c:v>5.1060188573318621</c:v>
                </c:pt>
                <c:pt idx="2">
                  <c:v>4.1690469391639597</c:v>
                </c:pt>
                <c:pt idx="3">
                  <c:v>3.6105005588857462</c:v>
                </c:pt>
                <c:pt idx="4">
                  <c:v>3.2293298729878046</c:v>
                </c:pt>
                <c:pt idx="5">
                  <c:v>2.9479613617678559</c:v>
                </c:pt>
                <c:pt idx="6">
                  <c:v>2.0138409955990952</c:v>
                </c:pt>
                <c:pt idx="7">
                  <c:v>1.4240006242195884</c:v>
                </c:pt>
                <c:pt idx="8">
                  <c:v>1.1626916409142416</c:v>
                </c:pt>
                <c:pt idx="9">
                  <c:v>1.0069204977995476</c:v>
                </c:pt>
                <c:pt idx="10">
                  <c:v>1</c:v>
                </c:pt>
              </c:numCache>
            </c:numRef>
          </c:xVal>
          <c:yVal>
            <c:numRef>
              <c:f>TimeValue_2!$F$34:$P$34</c:f>
              <c:numCache>
                <c:formatCode>0.00</c:formatCode>
                <c:ptCount val="11"/>
                <c:pt idx="0">
                  <c:v>36.995179304057665</c:v>
                </c:pt>
                <c:pt idx="1">
                  <c:v>24.259907010970945</c:v>
                </c:pt>
                <c:pt idx="2">
                  <c:v>19.107582852050712</c:v>
                </c:pt>
                <c:pt idx="3">
                  <c:v>16.174640945817352</c:v>
                </c:pt>
                <c:pt idx="4">
                  <c:v>14.231602034120304</c:v>
                </c:pt>
                <c:pt idx="5">
                  <c:v>12.82756274983754</c:v>
                </c:pt>
                <c:pt idx="6">
                  <c:v>8.3517325530270128</c:v>
                </c:pt>
                <c:pt idx="7">
                  <c:v>5.6828784981059526</c:v>
                </c:pt>
                <c:pt idx="8">
                  <c:v>4.5506497262478707</c:v>
                </c:pt>
                <c:pt idx="9">
                  <c:v>3.8974902376615912</c:v>
                </c:pt>
                <c:pt idx="10">
                  <c:v>3.8689723683347372</c:v>
                </c:pt>
              </c:numCache>
            </c:numRef>
          </c:yVal>
          <c:smooth val="0"/>
          <c:extLst>
            <c:ext xmlns:c16="http://schemas.microsoft.com/office/drawing/2014/chart" uri="{C3380CC4-5D6E-409C-BE32-E72D297353CC}">
              <c16:uniqueId val="{00000004-F55D-41DE-BEC5-C6DF73F352F1}"/>
            </c:ext>
          </c:extLst>
        </c:ser>
        <c:ser>
          <c:idx val="5"/>
          <c:order val="5"/>
          <c:spPr>
            <a:ln w="28575">
              <a:noFill/>
            </a:ln>
          </c:spPr>
          <c:xVal>
            <c:numRef>
              <c:f>TimeValue_2!$F$27:$P$27</c:f>
              <c:numCache>
                <c:formatCode>0.00</c:formatCode>
                <c:ptCount val="11"/>
                <c:pt idx="0">
                  <c:v>7.2210011177714923</c:v>
                </c:pt>
                <c:pt idx="1">
                  <c:v>5.1060188573318621</c:v>
                </c:pt>
                <c:pt idx="2">
                  <c:v>4.1690469391639597</c:v>
                </c:pt>
                <c:pt idx="3">
                  <c:v>3.6105005588857462</c:v>
                </c:pt>
                <c:pt idx="4">
                  <c:v>3.2293298729878046</c:v>
                </c:pt>
                <c:pt idx="5">
                  <c:v>2.9479613617678559</c:v>
                </c:pt>
                <c:pt idx="6">
                  <c:v>2.0138409955990952</c:v>
                </c:pt>
                <c:pt idx="7">
                  <c:v>1.4240006242195884</c:v>
                </c:pt>
                <c:pt idx="8">
                  <c:v>1.1626916409142416</c:v>
                </c:pt>
                <c:pt idx="9">
                  <c:v>1.0069204977995476</c:v>
                </c:pt>
                <c:pt idx="10">
                  <c:v>1</c:v>
                </c:pt>
              </c:numCache>
            </c:numRef>
          </c:xVal>
          <c:yVal>
            <c:numRef>
              <c:f>TimeValue_2!$F$35:$P$35</c:f>
              <c:numCache>
                <c:formatCode>0.00</c:formatCode>
                <c:ptCount val="11"/>
                <c:pt idx="0">
                  <c:v>30.588791699017989</c:v>
                </c:pt>
                <c:pt idx="1">
                  <c:v>20.22357145171847</c:v>
                </c:pt>
                <c:pt idx="2">
                  <c:v>15.983796193288434</c:v>
                </c:pt>
                <c:pt idx="3">
                  <c:v>13.556665965084541</c:v>
                </c:pt>
                <c:pt idx="4">
                  <c:v>11.942993487882326</c:v>
                </c:pt>
                <c:pt idx="5">
                  <c:v>10.774086121807912</c:v>
                </c:pt>
                <c:pt idx="6">
                  <c:v>7.0330914913576104</c:v>
                </c:pt>
                <c:pt idx="7">
                  <c:v>4.797995391731452</c:v>
                </c:pt>
                <c:pt idx="8">
                  <c:v>3.8549501440640448</c:v>
                </c:pt>
                <c:pt idx="9">
                  <c:v>3.3163051154507555</c:v>
                </c:pt>
                <c:pt idx="10">
                  <c:v>3.2929488409288652</c:v>
                </c:pt>
              </c:numCache>
            </c:numRef>
          </c:yVal>
          <c:smooth val="0"/>
          <c:extLst>
            <c:ext xmlns:c16="http://schemas.microsoft.com/office/drawing/2014/chart" uri="{C3380CC4-5D6E-409C-BE32-E72D297353CC}">
              <c16:uniqueId val="{00000005-F55D-41DE-BEC5-C6DF73F352F1}"/>
            </c:ext>
          </c:extLst>
        </c:ser>
        <c:ser>
          <c:idx val="6"/>
          <c:order val="6"/>
          <c:spPr>
            <a:ln w="28575">
              <a:noFill/>
            </a:ln>
          </c:spPr>
          <c:xVal>
            <c:numRef>
              <c:f>TimeValue_2!$F$27:$P$27</c:f>
              <c:numCache>
                <c:formatCode>0.00</c:formatCode>
                <c:ptCount val="11"/>
                <c:pt idx="0">
                  <c:v>7.2210011177714923</c:v>
                </c:pt>
                <c:pt idx="1">
                  <c:v>5.1060188573318621</c:v>
                </c:pt>
                <c:pt idx="2">
                  <c:v>4.1690469391639597</c:v>
                </c:pt>
                <c:pt idx="3">
                  <c:v>3.6105005588857462</c:v>
                </c:pt>
                <c:pt idx="4">
                  <c:v>3.2293298729878046</c:v>
                </c:pt>
                <c:pt idx="5">
                  <c:v>2.9479613617678559</c:v>
                </c:pt>
                <c:pt idx="6">
                  <c:v>2.0138409955990952</c:v>
                </c:pt>
                <c:pt idx="7">
                  <c:v>1.4240006242195884</c:v>
                </c:pt>
                <c:pt idx="8">
                  <c:v>1.1626916409142416</c:v>
                </c:pt>
                <c:pt idx="9">
                  <c:v>1.0069204977995476</c:v>
                </c:pt>
                <c:pt idx="10">
                  <c:v>1</c:v>
                </c:pt>
              </c:numCache>
            </c:numRef>
          </c:xVal>
          <c:yVal>
            <c:numRef>
              <c:f>TimeValue_2!$F$36:$P$36</c:f>
              <c:numCache>
                <c:formatCode>0.00</c:formatCode>
                <c:ptCount val="11"/>
                <c:pt idx="0">
                  <c:v>26.028135068998701</c:v>
                </c:pt>
                <c:pt idx="1">
                  <c:v>17.312492885181271</c:v>
                </c:pt>
                <c:pt idx="2">
                  <c:v>13.716928342686813</c:v>
                </c:pt>
                <c:pt idx="3">
                  <c:v>11.649824733727762</c:v>
                </c:pt>
                <c:pt idx="4">
                  <c:v>10.271950750406152</c:v>
                </c:pt>
                <c:pt idx="5">
                  <c:v>9.2721363954694631</c:v>
                </c:pt>
                <c:pt idx="6">
                  <c:v>6.0648977296020874</c:v>
                </c:pt>
                <c:pt idx="7">
                  <c:v>4.1511767102092518</c:v>
                </c:pt>
                <c:pt idx="8">
                  <c:v>3.3516277949642261</c:v>
                </c:pt>
                <c:pt idx="9">
                  <c:v>2.9018133713915235</c:v>
                </c:pt>
                <c:pt idx="10">
                  <c:v>2.8825106925939994</c:v>
                </c:pt>
              </c:numCache>
            </c:numRef>
          </c:yVal>
          <c:smooth val="0"/>
          <c:extLst>
            <c:ext xmlns:c16="http://schemas.microsoft.com/office/drawing/2014/chart" uri="{C3380CC4-5D6E-409C-BE32-E72D297353CC}">
              <c16:uniqueId val="{00000006-F55D-41DE-BEC5-C6DF73F352F1}"/>
            </c:ext>
          </c:extLst>
        </c:ser>
        <c:ser>
          <c:idx val="7"/>
          <c:order val="7"/>
          <c:spPr>
            <a:ln w="28575">
              <a:noFill/>
            </a:ln>
          </c:spPr>
          <c:xVal>
            <c:numRef>
              <c:f>TimeValue_2!$F$27:$P$27</c:f>
              <c:numCache>
                <c:formatCode>0.00</c:formatCode>
                <c:ptCount val="11"/>
                <c:pt idx="0">
                  <c:v>7.2210011177714923</c:v>
                </c:pt>
                <c:pt idx="1">
                  <c:v>5.1060188573318621</c:v>
                </c:pt>
                <c:pt idx="2">
                  <c:v>4.1690469391639597</c:v>
                </c:pt>
                <c:pt idx="3">
                  <c:v>3.6105005588857462</c:v>
                </c:pt>
                <c:pt idx="4">
                  <c:v>3.2293298729878046</c:v>
                </c:pt>
                <c:pt idx="5">
                  <c:v>2.9479613617678559</c:v>
                </c:pt>
                <c:pt idx="6">
                  <c:v>2.0138409955990952</c:v>
                </c:pt>
                <c:pt idx="7">
                  <c:v>1.4240006242195884</c:v>
                </c:pt>
                <c:pt idx="8">
                  <c:v>1.1626916409142416</c:v>
                </c:pt>
                <c:pt idx="9">
                  <c:v>1.0069204977995476</c:v>
                </c:pt>
                <c:pt idx="10">
                  <c:v>1</c:v>
                </c:pt>
              </c:numCache>
            </c:numRef>
          </c:xVal>
          <c:yVal>
            <c:numRef>
              <c:f>TimeValue_2!$F$37:$P$37</c:f>
              <c:numCache>
                <c:formatCode>0.00</c:formatCode>
                <c:ptCount val="11"/>
                <c:pt idx="0">
                  <c:v>22.622577330012231</c:v>
                </c:pt>
                <c:pt idx="1">
                  <c:v>15.116193869494435</c:v>
                </c:pt>
                <c:pt idx="2">
                  <c:v>11.998556944937571</c:v>
                </c:pt>
                <c:pt idx="3">
                  <c:v>10.200408595068872</c:v>
                </c:pt>
                <c:pt idx="4">
                  <c:v>8.9995596910072138</c:v>
                </c:pt>
                <c:pt idx="5">
                  <c:v>8.1271894158066544</c:v>
                </c:pt>
                <c:pt idx="6">
                  <c:v>5.32596895792505</c:v>
                </c:pt>
                <c:pt idx="7">
                  <c:v>3.6617477445817963</c:v>
                </c:pt>
                <c:pt idx="8">
                  <c:v>2.9765754217699172</c:v>
                </c:pt>
                <c:pt idx="9">
                  <c:v>2.5993878010555691</c:v>
                </c:pt>
                <c:pt idx="10">
                  <c:v>2.5834450100383459</c:v>
                </c:pt>
              </c:numCache>
            </c:numRef>
          </c:yVal>
          <c:smooth val="0"/>
          <c:extLst>
            <c:ext xmlns:c16="http://schemas.microsoft.com/office/drawing/2014/chart" uri="{C3380CC4-5D6E-409C-BE32-E72D297353CC}">
              <c16:uniqueId val="{00000007-F55D-41DE-BEC5-C6DF73F352F1}"/>
            </c:ext>
          </c:extLst>
        </c:ser>
        <c:ser>
          <c:idx val="8"/>
          <c:order val="8"/>
          <c:spPr>
            <a:ln w="28575">
              <a:noFill/>
            </a:ln>
          </c:spPr>
          <c:xVal>
            <c:numRef>
              <c:f>TimeValue_2!$F$27:$P$27</c:f>
              <c:numCache>
                <c:formatCode>0.00</c:formatCode>
                <c:ptCount val="11"/>
                <c:pt idx="0">
                  <c:v>7.2210011177714923</c:v>
                </c:pt>
                <c:pt idx="1">
                  <c:v>5.1060188573318621</c:v>
                </c:pt>
                <c:pt idx="2">
                  <c:v>4.1690469391639597</c:v>
                </c:pt>
                <c:pt idx="3">
                  <c:v>3.6105005588857462</c:v>
                </c:pt>
                <c:pt idx="4">
                  <c:v>3.2293298729878046</c:v>
                </c:pt>
                <c:pt idx="5">
                  <c:v>2.9479613617678559</c:v>
                </c:pt>
                <c:pt idx="6">
                  <c:v>2.0138409955990952</c:v>
                </c:pt>
                <c:pt idx="7">
                  <c:v>1.4240006242195884</c:v>
                </c:pt>
                <c:pt idx="8">
                  <c:v>1.1626916409142416</c:v>
                </c:pt>
                <c:pt idx="9">
                  <c:v>1.0069204977995476</c:v>
                </c:pt>
                <c:pt idx="10">
                  <c:v>1</c:v>
                </c:pt>
              </c:numCache>
            </c:numRef>
          </c:xVal>
          <c:yVal>
            <c:numRef>
              <c:f>TimeValue_2!$F$38:$P$38</c:f>
              <c:numCache>
                <c:formatCode>0.00</c:formatCode>
                <c:ptCount val="11"/>
                <c:pt idx="0">
                  <c:v>19.985852692519167</c:v>
                </c:pt>
                <c:pt idx="1">
                  <c:v>13.401554255078635</c:v>
                </c:pt>
                <c:pt idx="2">
                  <c:v>10.652104626458708</c:v>
                </c:pt>
                <c:pt idx="3">
                  <c:v>9.062405814594662</c:v>
                </c:pt>
                <c:pt idx="4">
                  <c:v>7.9993611661427231</c:v>
                </c:pt>
                <c:pt idx="5">
                  <c:v>7.2265536995740227</c:v>
                </c:pt>
                <c:pt idx="6">
                  <c:v>4.7453892302396632</c:v>
                </c:pt>
                <c:pt idx="7">
                  <c:v>3.2821699181451374</c:v>
                </c:pt>
                <c:pt idx="8">
                  <c:v>2.6918927698106545</c:v>
                </c:pt>
                <c:pt idx="9">
                  <c:v>2.3766640777604402</c:v>
                </c:pt>
                <c:pt idx="10">
                  <c:v>2.3636297063839509</c:v>
                </c:pt>
              </c:numCache>
            </c:numRef>
          </c:yVal>
          <c:smooth val="0"/>
          <c:extLst>
            <c:ext xmlns:c16="http://schemas.microsoft.com/office/drawing/2014/chart" uri="{C3380CC4-5D6E-409C-BE32-E72D297353CC}">
              <c16:uniqueId val="{00000008-F55D-41DE-BEC5-C6DF73F352F1}"/>
            </c:ext>
          </c:extLst>
        </c:ser>
        <c:ser>
          <c:idx val="9"/>
          <c:order val="9"/>
          <c:spPr>
            <a:ln w="28575">
              <a:noFill/>
            </a:ln>
          </c:spPr>
          <c:trendline>
            <c:trendlineType val="poly"/>
            <c:order val="2"/>
            <c:intercept val="0"/>
            <c:dispRSqr val="1"/>
            <c:dispEq val="1"/>
            <c:trendlineLbl>
              <c:layout>
                <c:manualLayout>
                  <c:x val="0.13825720389085364"/>
                  <c:y val="8.709228652827302E-3"/>
                </c:manualLayout>
              </c:layout>
              <c:numFmt formatCode="General" sourceLinked="0"/>
            </c:trendlineLbl>
          </c:trendline>
          <c:xVal>
            <c:numRef>
              <c:f>TimeValue_2!$F$27:$P$27</c:f>
              <c:numCache>
                <c:formatCode>0.00</c:formatCode>
                <c:ptCount val="11"/>
                <c:pt idx="0">
                  <c:v>7.2210011177714923</c:v>
                </c:pt>
                <c:pt idx="1">
                  <c:v>5.1060188573318621</c:v>
                </c:pt>
                <c:pt idx="2">
                  <c:v>4.1690469391639597</c:v>
                </c:pt>
                <c:pt idx="3">
                  <c:v>3.6105005588857462</c:v>
                </c:pt>
                <c:pt idx="4">
                  <c:v>3.2293298729878046</c:v>
                </c:pt>
                <c:pt idx="5">
                  <c:v>2.9479613617678559</c:v>
                </c:pt>
                <c:pt idx="6">
                  <c:v>2.0138409955990952</c:v>
                </c:pt>
                <c:pt idx="7">
                  <c:v>1.4240006242195884</c:v>
                </c:pt>
                <c:pt idx="8">
                  <c:v>1.1626916409142416</c:v>
                </c:pt>
                <c:pt idx="9">
                  <c:v>1.0069204977995476</c:v>
                </c:pt>
                <c:pt idx="10">
                  <c:v>1</c:v>
                </c:pt>
              </c:numCache>
            </c:numRef>
          </c:xVal>
          <c:yVal>
            <c:numRef>
              <c:f>TimeValue_2!$F$39:$P$39</c:f>
              <c:numCache>
                <c:formatCode>0.00</c:formatCode>
                <c:ptCount val="11"/>
                <c:pt idx="0">
                  <c:v>16.174640945817352</c:v>
                </c:pt>
                <c:pt idx="1">
                  <c:v>10.900081341662844</c:v>
                </c:pt>
                <c:pt idx="2">
                  <c:v>8.6802179109215309</c:v>
                </c:pt>
                <c:pt idx="3">
                  <c:v>7.3926308491242931</c:v>
                </c:pt>
                <c:pt idx="4">
                  <c:v>6.530464976990797</c:v>
                </c:pt>
                <c:pt idx="5">
                  <c:v>5.9035017074580143</c:v>
                </c:pt>
                <c:pt idx="6">
                  <c:v>3.8974902376615912</c:v>
                </c:pt>
                <c:pt idx="7">
                  <c:v>2.7434220425862064</c:v>
                </c:pt>
                <c:pt idx="8">
                  <c:v>2.3063485612878516</c:v>
                </c:pt>
                <c:pt idx="9">
                  <c:v>2.0956231010880892</c:v>
                </c:pt>
                <c:pt idx="10">
                  <c:v>2.0876023835317215</c:v>
                </c:pt>
              </c:numCache>
            </c:numRef>
          </c:yVal>
          <c:smooth val="0"/>
          <c:extLst>
            <c:ext xmlns:c16="http://schemas.microsoft.com/office/drawing/2014/chart" uri="{C3380CC4-5D6E-409C-BE32-E72D297353CC}">
              <c16:uniqueId val="{00000009-F55D-41DE-BEC5-C6DF73F352F1}"/>
            </c:ext>
          </c:extLst>
        </c:ser>
        <c:dLbls>
          <c:showLegendKey val="0"/>
          <c:showVal val="0"/>
          <c:showCatName val="0"/>
          <c:showSerName val="0"/>
          <c:showPercent val="0"/>
          <c:showBubbleSize val="0"/>
        </c:dLbls>
        <c:axId val="185872768"/>
        <c:axId val="185874304"/>
      </c:scatterChart>
      <c:valAx>
        <c:axId val="185872768"/>
        <c:scaling>
          <c:orientation val="minMax"/>
        </c:scaling>
        <c:delete val="0"/>
        <c:axPos val="b"/>
        <c:numFmt formatCode="0.00" sourceLinked="1"/>
        <c:majorTickMark val="out"/>
        <c:minorTickMark val="none"/>
        <c:tickLblPos val="nextTo"/>
        <c:crossAx val="185874304"/>
        <c:crosses val="autoZero"/>
        <c:crossBetween val="midCat"/>
      </c:valAx>
      <c:valAx>
        <c:axId val="185874304"/>
        <c:scaling>
          <c:orientation val="minMax"/>
        </c:scaling>
        <c:delete val="0"/>
        <c:axPos val="l"/>
        <c:majorGridlines/>
        <c:numFmt formatCode="0.00" sourceLinked="1"/>
        <c:majorTickMark val="out"/>
        <c:minorTickMark val="none"/>
        <c:tickLblPos val="nextTo"/>
        <c:crossAx val="185872768"/>
        <c:crosses val="autoZero"/>
        <c:crossBetween val="midCat"/>
      </c:valAx>
    </c:plotArea>
    <c:legend>
      <c:legendPos val="r"/>
      <c:layout>
        <c:manualLayout>
          <c:xMode val="edge"/>
          <c:yMode val="edge"/>
          <c:x val="0.86901959731278045"/>
          <c:y val="7.3540823038156636E-2"/>
          <c:w val="0.11856459533973397"/>
          <c:h val="0.85999406723920391"/>
        </c:manualLayout>
      </c:layout>
      <c:overlay val="0"/>
    </c:legend>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poly"/>
            <c:order val="2"/>
            <c:intercept val="0"/>
            <c:dispRSqr val="1"/>
            <c:dispEq val="1"/>
            <c:trendlineLbl>
              <c:numFmt formatCode="General" sourceLinked="0"/>
            </c:trendlineLbl>
          </c:trendline>
          <c:xVal>
            <c:numRef>
              <c:f>TimeValue_2!$C$30:$C$39</c:f>
              <c:numCache>
                <c:formatCode>0.00</c:formatCode>
                <c:ptCount val="10"/>
                <c:pt idx="0">
                  <c:v>10</c:v>
                </c:pt>
                <c:pt idx="1">
                  <c:v>6.666666666666667</c:v>
                </c:pt>
                <c:pt idx="2">
                  <c:v>5</c:v>
                </c:pt>
                <c:pt idx="3">
                  <c:v>4</c:v>
                </c:pt>
                <c:pt idx="4">
                  <c:v>3.3333333333333335</c:v>
                </c:pt>
                <c:pt idx="5">
                  <c:v>2.8571428571428572</c:v>
                </c:pt>
                <c:pt idx="6">
                  <c:v>2.5</c:v>
                </c:pt>
                <c:pt idx="7">
                  <c:v>2.2222222222222223</c:v>
                </c:pt>
                <c:pt idx="8">
                  <c:v>2</c:v>
                </c:pt>
                <c:pt idx="9">
                  <c:v>1.6666666666666667</c:v>
                </c:pt>
              </c:numCache>
            </c:numRef>
          </c:xVal>
          <c:yVal>
            <c:numRef>
              <c:f>TimeValue_2!$F$30:$F$39</c:f>
              <c:numCache>
                <c:formatCode>0.00</c:formatCode>
                <c:ptCount val="10"/>
                <c:pt idx="0">
                  <c:v>170.01575609032147</c:v>
                </c:pt>
                <c:pt idx="1">
                  <c:v>92.970556718181911</c:v>
                </c:pt>
                <c:pt idx="2">
                  <c:v>62.475293410916315</c:v>
                </c:pt>
                <c:pt idx="3">
                  <c:v>46.606092693520381</c:v>
                </c:pt>
                <c:pt idx="4">
                  <c:v>36.995179304057665</c:v>
                </c:pt>
                <c:pt idx="5">
                  <c:v>30.588791699017989</c:v>
                </c:pt>
                <c:pt idx="6">
                  <c:v>26.028135068998701</c:v>
                </c:pt>
                <c:pt idx="7">
                  <c:v>22.622577330012231</c:v>
                </c:pt>
                <c:pt idx="8">
                  <c:v>19.985852692519167</c:v>
                </c:pt>
                <c:pt idx="9">
                  <c:v>16.174640945817352</c:v>
                </c:pt>
              </c:numCache>
            </c:numRef>
          </c:yVal>
          <c:smooth val="0"/>
          <c:extLst>
            <c:ext xmlns:c16="http://schemas.microsoft.com/office/drawing/2014/chart" uri="{C3380CC4-5D6E-409C-BE32-E72D297353CC}">
              <c16:uniqueId val="{00000000-7105-44E7-9E1C-67AD8C9DBEE2}"/>
            </c:ext>
          </c:extLst>
        </c:ser>
        <c:ser>
          <c:idx val="1"/>
          <c:order val="1"/>
          <c:spPr>
            <a:ln w="28575">
              <a:noFill/>
            </a:ln>
          </c:spPr>
          <c:trendline>
            <c:trendlineType val="poly"/>
            <c:order val="2"/>
            <c:intercept val="0"/>
            <c:dispRSqr val="1"/>
            <c:dispEq val="1"/>
            <c:trendlineLbl>
              <c:layout>
                <c:manualLayout>
                  <c:x val="0.161680296471576"/>
                  <c:y val="-3.6617897341759485E-2"/>
                </c:manualLayout>
              </c:layout>
              <c:numFmt formatCode="General" sourceLinked="0"/>
            </c:trendlineLbl>
          </c:trendline>
          <c:xVal>
            <c:numRef>
              <c:f>TimeValue_2!$C$30:$C$39</c:f>
              <c:numCache>
                <c:formatCode>0.00</c:formatCode>
                <c:ptCount val="10"/>
                <c:pt idx="0">
                  <c:v>10</c:v>
                </c:pt>
                <c:pt idx="1">
                  <c:v>6.666666666666667</c:v>
                </c:pt>
                <c:pt idx="2">
                  <c:v>5</c:v>
                </c:pt>
                <c:pt idx="3">
                  <c:v>4</c:v>
                </c:pt>
                <c:pt idx="4">
                  <c:v>3.3333333333333335</c:v>
                </c:pt>
                <c:pt idx="5">
                  <c:v>2.8571428571428572</c:v>
                </c:pt>
                <c:pt idx="6">
                  <c:v>2.5</c:v>
                </c:pt>
                <c:pt idx="7">
                  <c:v>2.2222222222222223</c:v>
                </c:pt>
                <c:pt idx="8">
                  <c:v>2</c:v>
                </c:pt>
                <c:pt idx="9">
                  <c:v>1.6666666666666667</c:v>
                </c:pt>
              </c:numCache>
            </c:numRef>
          </c:xVal>
          <c:yVal>
            <c:numRef>
              <c:f>TimeValue_2!$G$30:$G$39</c:f>
              <c:numCache>
                <c:formatCode>0.00</c:formatCode>
                <c:ptCount val="10"/>
                <c:pt idx="0">
                  <c:v>101.15797494182632</c:v>
                </c:pt>
                <c:pt idx="1">
                  <c:v>57.755878553166625</c:v>
                </c:pt>
                <c:pt idx="2">
                  <c:v>39.830130925057212</c:v>
                </c:pt>
                <c:pt idx="3">
                  <c:v>30.214433566691724</c:v>
                </c:pt>
                <c:pt idx="4">
                  <c:v>24.259907010970945</c:v>
                </c:pt>
                <c:pt idx="5">
                  <c:v>20.22357145171847</c:v>
                </c:pt>
                <c:pt idx="6">
                  <c:v>17.312492885181271</c:v>
                </c:pt>
                <c:pt idx="7">
                  <c:v>15.116193869494435</c:v>
                </c:pt>
                <c:pt idx="8">
                  <c:v>13.401554255078635</c:v>
                </c:pt>
                <c:pt idx="9">
                  <c:v>10.900081341662844</c:v>
                </c:pt>
              </c:numCache>
            </c:numRef>
          </c:yVal>
          <c:smooth val="0"/>
          <c:extLst>
            <c:ext xmlns:c16="http://schemas.microsoft.com/office/drawing/2014/chart" uri="{C3380CC4-5D6E-409C-BE32-E72D297353CC}">
              <c16:uniqueId val="{00000001-7105-44E7-9E1C-67AD8C9DBEE2}"/>
            </c:ext>
          </c:extLst>
        </c:ser>
        <c:ser>
          <c:idx val="2"/>
          <c:order val="2"/>
          <c:spPr>
            <a:ln w="28575">
              <a:noFill/>
            </a:ln>
          </c:spPr>
          <c:xVal>
            <c:numRef>
              <c:f>TimeValue_2!$C$30:$C$39</c:f>
              <c:numCache>
                <c:formatCode>0.00</c:formatCode>
                <c:ptCount val="10"/>
                <c:pt idx="0">
                  <c:v>10</c:v>
                </c:pt>
                <c:pt idx="1">
                  <c:v>6.666666666666667</c:v>
                </c:pt>
                <c:pt idx="2">
                  <c:v>5</c:v>
                </c:pt>
                <c:pt idx="3">
                  <c:v>4</c:v>
                </c:pt>
                <c:pt idx="4">
                  <c:v>3.3333333333333335</c:v>
                </c:pt>
                <c:pt idx="5">
                  <c:v>2.8571428571428572</c:v>
                </c:pt>
                <c:pt idx="6">
                  <c:v>2.5</c:v>
                </c:pt>
                <c:pt idx="7">
                  <c:v>2.2222222222222223</c:v>
                </c:pt>
                <c:pt idx="8">
                  <c:v>2</c:v>
                </c:pt>
                <c:pt idx="9">
                  <c:v>1.6666666666666667</c:v>
                </c:pt>
              </c:numCache>
            </c:numRef>
          </c:xVal>
          <c:yVal>
            <c:numRef>
              <c:f>TimeValue_2!$H$30:$H$39</c:f>
              <c:numCache>
                <c:formatCode>0.00</c:formatCode>
                <c:ptCount val="10"/>
                <c:pt idx="0">
                  <c:v>75.986359565458031</c:v>
                </c:pt>
                <c:pt idx="1">
                  <c:v>44.362542336557745</c:v>
                </c:pt>
                <c:pt idx="2">
                  <c:v>30.976201947532516</c:v>
                </c:pt>
                <c:pt idx="3">
                  <c:v>23.678191917633491</c:v>
                </c:pt>
                <c:pt idx="4">
                  <c:v>19.107582852050712</c:v>
                </c:pt>
                <c:pt idx="5">
                  <c:v>15.983796193288434</c:v>
                </c:pt>
                <c:pt idx="6">
                  <c:v>13.716928342686813</c:v>
                </c:pt>
                <c:pt idx="7">
                  <c:v>11.998556944937571</c:v>
                </c:pt>
                <c:pt idx="8">
                  <c:v>10.652104626458708</c:v>
                </c:pt>
                <c:pt idx="9">
                  <c:v>8.6802179109215309</c:v>
                </c:pt>
              </c:numCache>
            </c:numRef>
          </c:yVal>
          <c:smooth val="0"/>
          <c:extLst>
            <c:ext xmlns:c16="http://schemas.microsoft.com/office/drawing/2014/chart" uri="{C3380CC4-5D6E-409C-BE32-E72D297353CC}">
              <c16:uniqueId val="{00000002-7105-44E7-9E1C-67AD8C9DBEE2}"/>
            </c:ext>
          </c:extLst>
        </c:ser>
        <c:ser>
          <c:idx val="3"/>
          <c:order val="3"/>
          <c:spPr>
            <a:ln w="28575">
              <a:noFill/>
            </a:ln>
          </c:spPr>
          <c:xVal>
            <c:numRef>
              <c:f>TimeValue_2!$C$30:$C$39</c:f>
              <c:numCache>
                <c:formatCode>0.00</c:formatCode>
                <c:ptCount val="10"/>
                <c:pt idx="0">
                  <c:v>10</c:v>
                </c:pt>
                <c:pt idx="1">
                  <c:v>6.666666666666667</c:v>
                </c:pt>
                <c:pt idx="2">
                  <c:v>5</c:v>
                </c:pt>
                <c:pt idx="3">
                  <c:v>4</c:v>
                </c:pt>
                <c:pt idx="4">
                  <c:v>3.3333333333333335</c:v>
                </c:pt>
                <c:pt idx="5">
                  <c:v>2.8571428571428572</c:v>
                </c:pt>
                <c:pt idx="6">
                  <c:v>2.5</c:v>
                </c:pt>
                <c:pt idx="7">
                  <c:v>2.2222222222222223</c:v>
                </c:pt>
                <c:pt idx="8">
                  <c:v>2</c:v>
                </c:pt>
                <c:pt idx="9">
                  <c:v>1.6666666666666667</c:v>
                </c:pt>
              </c:numCache>
            </c:numRef>
          </c:xVal>
          <c:yVal>
            <c:numRef>
              <c:f>TimeValue_2!$I$30:$I$39</c:f>
              <c:numCache>
                <c:formatCode>0.00</c:formatCode>
                <c:ptCount val="10"/>
                <c:pt idx="0">
                  <c:v>62.475293410916315</c:v>
                </c:pt>
                <c:pt idx="1">
                  <c:v>36.995179304057665</c:v>
                </c:pt>
                <c:pt idx="2">
                  <c:v>26.028135068998701</c:v>
                </c:pt>
                <c:pt idx="3">
                  <c:v>19.985852692519167</c:v>
                </c:pt>
                <c:pt idx="4">
                  <c:v>16.174640945817352</c:v>
                </c:pt>
                <c:pt idx="5">
                  <c:v>13.556665965084541</c:v>
                </c:pt>
                <c:pt idx="6">
                  <c:v>11.649824733727762</c:v>
                </c:pt>
                <c:pt idx="7">
                  <c:v>10.200408595068872</c:v>
                </c:pt>
                <c:pt idx="8">
                  <c:v>9.062405814594662</c:v>
                </c:pt>
                <c:pt idx="9">
                  <c:v>7.3926308491242931</c:v>
                </c:pt>
              </c:numCache>
            </c:numRef>
          </c:yVal>
          <c:smooth val="0"/>
          <c:extLst>
            <c:ext xmlns:c16="http://schemas.microsoft.com/office/drawing/2014/chart" uri="{C3380CC4-5D6E-409C-BE32-E72D297353CC}">
              <c16:uniqueId val="{00000003-7105-44E7-9E1C-67AD8C9DBEE2}"/>
            </c:ext>
          </c:extLst>
        </c:ser>
        <c:ser>
          <c:idx val="4"/>
          <c:order val="4"/>
          <c:spPr>
            <a:ln w="28575">
              <a:noFill/>
            </a:ln>
          </c:spPr>
          <c:xVal>
            <c:numRef>
              <c:f>TimeValue_2!$C$30:$C$39</c:f>
              <c:numCache>
                <c:formatCode>0.00</c:formatCode>
                <c:ptCount val="10"/>
                <c:pt idx="0">
                  <c:v>10</c:v>
                </c:pt>
                <c:pt idx="1">
                  <c:v>6.666666666666667</c:v>
                </c:pt>
                <c:pt idx="2">
                  <c:v>5</c:v>
                </c:pt>
                <c:pt idx="3">
                  <c:v>4</c:v>
                </c:pt>
                <c:pt idx="4">
                  <c:v>3.3333333333333335</c:v>
                </c:pt>
                <c:pt idx="5">
                  <c:v>2.8571428571428572</c:v>
                </c:pt>
                <c:pt idx="6">
                  <c:v>2.5</c:v>
                </c:pt>
                <c:pt idx="7">
                  <c:v>2.2222222222222223</c:v>
                </c:pt>
                <c:pt idx="8">
                  <c:v>2</c:v>
                </c:pt>
                <c:pt idx="9">
                  <c:v>1.6666666666666667</c:v>
                </c:pt>
              </c:numCache>
            </c:numRef>
          </c:xVal>
          <c:yVal>
            <c:numRef>
              <c:f>TimeValue_2!$J$30:$J$39</c:f>
              <c:numCache>
                <c:formatCode>0.00</c:formatCode>
                <c:ptCount val="10"/>
                <c:pt idx="0">
                  <c:v>53.87765196748623</c:v>
                </c:pt>
                <c:pt idx="1">
                  <c:v>32.224598080802011</c:v>
                </c:pt>
                <c:pt idx="2">
                  <c:v>22.789427844915842</c:v>
                </c:pt>
                <c:pt idx="3">
                  <c:v>17.551803681288693</c:v>
                </c:pt>
                <c:pt idx="4">
                  <c:v>14.231602034120304</c:v>
                </c:pt>
                <c:pt idx="5">
                  <c:v>11.942993487882326</c:v>
                </c:pt>
                <c:pt idx="6">
                  <c:v>10.271950750406152</c:v>
                </c:pt>
                <c:pt idx="7">
                  <c:v>8.9995596910072138</c:v>
                </c:pt>
                <c:pt idx="8">
                  <c:v>7.9993611661427231</c:v>
                </c:pt>
                <c:pt idx="9">
                  <c:v>6.530464976990797</c:v>
                </c:pt>
              </c:numCache>
            </c:numRef>
          </c:yVal>
          <c:smooth val="0"/>
          <c:extLst>
            <c:ext xmlns:c16="http://schemas.microsoft.com/office/drawing/2014/chart" uri="{C3380CC4-5D6E-409C-BE32-E72D297353CC}">
              <c16:uniqueId val="{00000004-7105-44E7-9E1C-67AD8C9DBEE2}"/>
            </c:ext>
          </c:extLst>
        </c:ser>
        <c:ser>
          <c:idx val="5"/>
          <c:order val="5"/>
          <c:spPr>
            <a:ln w="28575">
              <a:noFill/>
            </a:ln>
          </c:spPr>
          <c:trendline>
            <c:trendlineType val="poly"/>
            <c:order val="2"/>
            <c:intercept val="0"/>
            <c:dispRSqr val="1"/>
            <c:dispEq val="1"/>
            <c:trendlineLbl>
              <c:layout>
                <c:manualLayout>
                  <c:x val="0.16576500735459998"/>
                  <c:y val="-0.14728883346627022"/>
                </c:manualLayout>
              </c:layout>
              <c:numFmt formatCode="General" sourceLinked="0"/>
            </c:trendlineLbl>
          </c:trendline>
          <c:xVal>
            <c:numRef>
              <c:f>TimeValue_2!$C$30:$C$39</c:f>
              <c:numCache>
                <c:formatCode>0.00</c:formatCode>
                <c:ptCount val="10"/>
                <c:pt idx="0">
                  <c:v>10</c:v>
                </c:pt>
                <c:pt idx="1">
                  <c:v>6.666666666666667</c:v>
                </c:pt>
                <c:pt idx="2">
                  <c:v>5</c:v>
                </c:pt>
                <c:pt idx="3">
                  <c:v>4</c:v>
                </c:pt>
                <c:pt idx="4">
                  <c:v>3.3333333333333335</c:v>
                </c:pt>
                <c:pt idx="5">
                  <c:v>2.8571428571428572</c:v>
                </c:pt>
                <c:pt idx="6">
                  <c:v>2.5</c:v>
                </c:pt>
                <c:pt idx="7">
                  <c:v>2.2222222222222223</c:v>
                </c:pt>
                <c:pt idx="8">
                  <c:v>2</c:v>
                </c:pt>
                <c:pt idx="9">
                  <c:v>1.6666666666666667</c:v>
                </c:pt>
              </c:numCache>
            </c:numRef>
          </c:xVal>
          <c:yVal>
            <c:numRef>
              <c:f>TimeValue_2!$K$30:$K$39</c:f>
              <c:numCache>
                <c:formatCode>0.00</c:formatCode>
                <c:ptCount val="10"/>
                <c:pt idx="0">
                  <c:v>47.848327380695252</c:v>
                </c:pt>
                <c:pt idx="1">
                  <c:v>28.834286048473508</c:v>
                </c:pt>
                <c:pt idx="2">
                  <c:v>20.469353661069043</c:v>
                </c:pt>
                <c:pt idx="3">
                  <c:v>15.799132745346011</c:v>
                </c:pt>
                <c:pt idx="4">
                  <c:v>12.82756274983754</c:v>
                </c:pt>
                <c:pt idx="5">
                  <c:v>10.774086121807912</c:v>
                </c:pt>
                <c:pt idx="6">
                  <c:v>9.2721363954694631</c:v>
                </c:pt>
                <c:pt idx="7">
                  <c:v>8.1271894158066544</c:v>
                </c:pt>
                <c:pt idx="8">
                  <c:v>7.2265536995740227</c:v>
                </c:pt>
                <c:pt idx="9">
                  <c:v>5.9035017074580143</c:v>
                </c:pt>
              </c:numCache>
            </c:numRef>
          </c:yVal>
          <c:smooth val="0"/>
          <c:extLst>
            <c:ext xmlns:c16="http://schemas.microsoft.com/office/drawing/2014/chart" uri="{C3380CC4-5D6E-409C-BE32-E72D297353CC}">
              <c16:uniqueId val="{00000005-7105-44E7-9E1C-67AD8C9DBEE2}"/>
            </c:ext>
          </c:extLst>
        </c:ser>
        <c:ser>
          <c:idx val="6"/>
          <c:order val="6"/>
          <c:spPr>
            <a:ln w="28575">
              <a:noFill/>
            </a:ln>
          </c:spPr>
          <c:trendline>
            <c:trendlineType val="poly"/>
            <c:order val="2"/>
            <c:intercept val="0"/>
            <c:dispRSqr val="1"/>
            <c:dispEq val="1"/>
            <c:trendlineLbl>
              <c:layout>
                <c:manualLayout>
                  <c:x val="0.17232884384505764"/>
                  <c:y val="-0.11944173135249062"/>
                </c:manualLayout>
              </c:layout>
              <c:numFmt formatCode="General" sourceLinked="0"/>
            </c:trendlineLbl>
          </c:trendline>
          <c:xVal>
            <c:numRef>
              <c:f>TimeValue_2!$C$30:$C$39</c:f>
              <c:numCache>
                <c:formatCode>0.00</c:formatCode>
                <c:ptCount val="10"/>
                <c:pt idx="0">
                  <c:v>10</c:v>
                </c:pt>
                <c:pt idx="1">
                  <c:v>6.666666666666667</c:v>
                </c:pt>
                <c:pt idx="2">
                  <c:v>5</c:v>
                </c:pt>
                <c:pt idx="3">
                  <c:v>4</c:v>
                </c:pt>
                <c:pt idx="4">
                  <c:v>3.3333333333333335</c:v>
                </c:pt>
                <c:pt idx="5">
                  <c:v>2.8571428571428572</c:v>
                </c:pt>
                <c:pt idx="6">
                  <c:v>2.5</c:v>
                </c:pt>
                <c:pt idx="7">
                  <c:v>2.2222222222222223</c:v>
                </c:pt>
                <c:pt idx="8">
                  <c:v>2</c:v>
                </c:pt>
                <c:pt idx="9">
                  <c:v>1.6666666666666667</c:v>
                </c:pt>
              </c:numCache>
            </c:numRef>
          </c:xVal>
          <c:yVal>
            <c:numRef>
              <c:f>TimeValue_2!$L$30:$L$39</c:f>
              <c:numCache>
                <c:formatCode>0.00</c:formatCode>
                <c:ptCount val="10"/>
                <c:pt idx="0">
                  <c:v>29.700904051736114</c:v>
                </c:pt>
                <c:pt idx="1">
                  <c:v>18.355585954171289</c:v>
                </c:pt>
                <c:pt idx="2">
                  <c:v>13.188377359230394</c:v>
                </c:pt>
                <c:pt idx="3">
                  <c:v>10.246238173757176</c:v>
                </c:pt>
                <c:pt idx="4">
                  <c:v>8.3517325530270128</c:v>
                </c:pt>
                <c:pt idx="5">
                  <c:v>7.0330914913576104</c:v>
                </c:pt>
                <c:pt idx="6">
                  <c:v>6.0648977296020874</c:v>
                </c:pt>
                <c:pt idx="7">
                  <c:v>5.32596895792505</c:v>
                </c:pt>
                <c:pt idx="8">
                  <c:v>4.7453892302396632</c:v>
                </c:pt>
                <c:pt idx="9">
                  <c:v>3.8974902376615912</c:v>
                </c:pt>
              </c:numCache>
            </c:numRef>
          </c:yVal>
          <c:smooth val="0"/>
          <c:extLst>
            <c:ext xmlns:c16="http://schemas.microsoft.com/office/drawing/2014/chart" uri="{C3380CC4-5D6E-409C-BE32-E72D297353CC}">
              <c16:uniqueId val="{00000006-7105-44E7-9E1C-67AD8C9DBEE2}"/>
            </c:ext>
          </c:extLst>
        </c:ser>
        <c:ser>
          <c:idx val="7"/>
          <c:order val="7"/>
          <c:spPr>
            <a:ln w="28575">
              <a:noFill/>
            </a:ln>
          </c:spPr>
          <c:trendline>
            <c:trendlineType val="poly"/>
            <c:order val="2"/>
            <c:intercept val="0"/>
            <c:dispRSqr val="1"/>
            <c:dispEq val="1"/>
            <c:trendlineLbl>
              <c:layout>
                <c:manualLayout>
                  <c:x val="0.14634507116412679"/>
                  <c:y val="-6.9951617601619345E-2"/>
                </c:manualLayout>
              </c:layout>
              <c:numFmt formatCode="General" sourceLinked="0"/>
            </c:trendlineLbl>
          </c:trendline>
          <c:xVal>
            <c:numRef>
              <c:f>TimeValue_2!$C$30:$C$39</c:f>
              <c:numCache>
                <c:formatCode>0.00</c:formatCode>
                <c:ptCount val="10"/>
                <c:pt idx="0">
                  <c:v>10</c:v>
                </c:pt>
                <c:pt idx="1">
                  <c:v>6.666666666666667</c:v>
                </c:pt>
                <c:pt idx="2">
                  <c:v>5</c:v>
                </c:pt>
                <c:pt idx="3">
                  <c:v>4</c:v>
                </c:pt>
                <c:pt idx="4">
                  <c:v>3.3333333333333335</c:v>
                </c:pt>
                <c:pt idx="5">
                  <c:v>2.8571428571428572</c:v>
                </c:pt>
                <c:pt idx="6">
                  <c:v>2.5</c:v>
                </c:pt>
                <c:pt idx="7">
                  <c:v>2.2222222222222223</c:v>
                </c:pt>
                <c:pt idx="8">
                  <c:v>2</c:v>
                </c:pt>
                <c:pt idx="9">
                  <c:v>1.6666666666666667</c:v>
                </c:pt>
              </c:numCache>
            </c:numRef>
          </c:xVal>
          <c:yVal>
            <c:numRef>
              <c:f>TimeValue_2!$M$30:$M$39</c:f>
              <c:numCache>
                <c:formatCode>0.00</c:formatCode>
                <c:ptCount val="10"/>
                <c:pt idx="0">
                  <c:v>19.659409378101838</c:v>
                </c:pt>
                <c:pt idx="1">
                  <c:v>12.334936439332743</c:v>
                </c:pt>
                <c:pt idx="2">
                  <c:v>8.9205340361275915</c:v>
                </c:pt>
                <c:pt idx="3">
                  <c:v>6.9545545191452138</c:v>
                </c:pt>
                <c:pt idx="4">
                  <c:v>5.6828784981059526</c:v>
                </c:pt>
                <c:pt idx="5">
                  <c:v>4.797995391731452</c:v>
                </c:pt>
                <c:pt idx="6">
                  <c:v>4.1511767102092518</c:v>
                </c:pt>
                <c:pt idx="7">
                  <c:v>3.6617477445817963</c:v>
                </c:pt>
                <c:pt idx="8">
                  <c:v>3.2821699181451374</c:v>
                </c:pt>
                <c:pt idx="9">
                  <c:v>2.7434220425862064</c:v>
                </c:pt>
              </c:numCache>
            </c:numRef>
          </c:yVal>
          <c:smooth val="0"/>
          <c:extLst>
            <c:ext xmlns:c16="http://schemas.microsoft.com/office/drawing/2014/chart" uri="{C3380CC4-5D6E-409C-BE32-E72D297353CC}">
              <c16:uniqueId val="{00000007-7105-44E7-9E1C-67AD8C9DBEE2}"/>
            </c:ext>
          </c:extLst>
        </c:ser>
        <c:ser>
          <c:idx val="8"/>
          <c:order val="8"/>
          <c:spPr>
            <a:ln w="28575">
              <a:noFill/>
            </a:ln>
          </c:spPr>
          <c:xVal>
            <c:numRef>
              <c:f>TimeValue_2!$C$30:$C$39</c:f>
              <c:numCache>
                <c:formatCode>0.00</c:formatCode>
                <c:ptCount val="10"/>
                <c:pt idx="0">
                  <c:v>10</c:v>
                </c:pt>
                <c:pt idx="1">
                  <c:v>6.666666666666667</c:v>
                </c:pt>
                <c:pt idx="2">
                  <c:v>5</c:v>
                </c:pt>
                <c:pt idx="3">
                  <c:v>4</c:v>
                </c:pt>
                <c:pt idx="4">
                  <c:v>3.3333333333333335</c:v>
                </c:pt>
                <c:pt idx="5">
                  <c:v>2.8571428571428572</c:v>
                </c:pt>
                <c:pt idx="6">
                  <c:v>2.5</c:v>
                </c:pt>
                <c:pt idx="7">
                  <c:v>2.2222222222222223</c:v>
                </c:pt>
                <c:pt idx="8">
                  <c:v>2</c:v>
                </c:pt>
                <c:pt idx="9">
                  <c:v>1.6666666666666667</c:v>
                </c:pt>
              </c:numCache>
            </c:numRef>
          </c:xVal>
          <c:yVal>
            <c:numRef>
              <c:f>TimeValue_2!$N$30:$N$39</c:f>
              <c:numCache>
                <c:formatCode>0.00</c:formatCode>
                <c:ptCount val="10"/>
                <c:pt idx="0">
                  <c:v>15.54541828217301</c:v>
                </c:pt>
                <c:pt idx="1">
                  <c:v>9.8123656486652635</c:v>
                </c:pt>
                <c:pt idx="2">
                  <c:v>7.1141911987854822</c:v>
                </c:pt>
                <c:pt idx="3">
                  <c:v>5.556415181669756</c:v>
                </c:pt>
                <c:pt idx="4">
                  <c:v>4.5506497262478707</c:v>
                </c:pt>
                <c:pt idx="5">
                  <c:v>3.8549501440640448</c:v>
                </c:pt>
                <c:pt idx="6">
                  <c:v>3.3516277949642261</c:v>
                </c:pt>
                <c:pt idx="7">
                  <c:v>2.9765754217699172</c:v>
                </c:pt>
                <c:pt idx="8">
                  <c:v>2.6918927698106545</c:v>
                </c:pt>
                <c:pt idx="9">
                  <c:v>2.3063485612878516</c:v>
                </c:pt>
              </c:numCache>
            </c:numRef>
          </c:yVal>
          <c:smooth val="0"/>
          <c:extLst>
            <c:ext xmlns:c16="http://schemas.microsoft.com/office/drawing/2014/chart" uri="{C3380CC4-5D6E-409C-BE32-E72D297353CC}">
              <c16:uniqueId val="{00000008-7105-44E7-9E1C-67AD8C9DBEE2}"/>
            </c:ext>
          </c:extLst>
        </c:ser>
        <c:ser>
          <c:idx val="9"/>
          <c:order val="9"/>
          <c:spPr>
            <a:ln w="28575">
              <a:noFill/>
            </a:ln>
          </c:spPr>
          <c:xVal>
            <c:numRef>
              <c:f>TimeValue_2!$C$30:$C$39</c:f>
              <c:numCache>
                <c:formatCode>0.00</c:formatCode>
                <c:ptCount val="10"/>
                <c:pt idx="0">
                  <c:v>10</c:v>
                </c:pt>
                <c:pt idx="1">
                  <c:v>6.666666666666667</c:v>
                </c:pt>
                <c:pt idx="2">
                  <c:v>5</c:v>
                </c:pt>
                <c:pt idx="3">
                  <c:v>4</c:v>
                </c:pt>
                <c:pt idx="4">
                  <c:v>3.3333333333333335</c:v>
                </c:pt>
                <c:pt idx="5">
                  <c:v>2.8571428571428572</c:v>
                </c:pt>
                <c:pt idx="6">
                  <c:v>2.5</c:v>
                </c:pt>
                <c:pt idx="7">
                  <c:v>2.2222222222222223</c:v>
                </c:pt>
                <c:pt idx="8">
                  <c:v>2</c:v>
                </c:pt>
                <c:pt idx="9">
                  <c:v>1.6666666666666667</c:v>
                </c:pt>
              </c:numCache>
            </c:numRef>
          </c:xVal>
          <c:yVal>
            <c:numRef>
              <c:f>TimeValue_2!$O$30:$O$39</c:f>
              <c:numCache>
                <c:formatCode>0.00</c:formatCode>
                <c:ptCount val="10"/>
                <c:pt idx="0">
                  <c:v>13.188377359230394</c:v>
                </c:pt>
                <c:pt idx="1">
                  <c:v>8.3517325530270128</c:v>
                </c:pt>
                <c:pt idx="2">
                  <c:v>6.0648977296020874</c:v>
                </c:pt>
                <c:pt idx="3">
                  <c:v>4.7453892302396632</c:v>
                </c:pt>
                <c:pt idx="4">
                  <c:v>3.8974902376615912</c:v>
                </c:pt>
                <c:pt idx="5">
                  <c:v>3.3163051154507555</c:v>
                </c:pt>
                <c:pt idx="6">
                  <c:v>2.9018133713915235</c:v>
                </c:pt>
                <c:pt idx="7">
                  <c:v>2.5993878010555691</c:v>
                </c:pt>
                <c:pt idx="8">
                  <c:v>2.3766640777604402</c:v>
                </c:pt>
                <c:pt idx="9">
                  <c:v>2.0956231010880892</c:v>
                </c:pt>
              </c:numCache>
            </c:numRef>
          </c:yVal>
          <c:smooth val="0"/>
          <c:extLst>
            <c:ext xmlns:c16="http://schemas.microsoft.com/office/drawing/2014/chart" uri="{C3380CC4-5D6E-409C-BE32-E72D297353CC}">
              <c16:uniqueId val="{00000009-7105-44E7-9E1C-67AD8C9DBEE2}"/>
            </c:ext>
          </c:extLst>
        </c:ser>
        <c:ser>
          <c:idx val="10"/>
          <c:order val="10"/>
          <c:spPr>
            <a:ln w="28575">
              <a:noFill/>
            </a:ln>
          </c:spPr>
          <c:trendline>
            <c:trendlineType val="poly"/>
            <c:order val="2"/>
            <c:intercept val="0"/>
            <c:dispRSqr val="1"/>
            <c:dispEq val="1"/>
            <c:trendlineLbl>
              <c:layout>
                <c:manualLayout>
                  <c:x val="0.14643559559109343"/>
                  <c:y val="-3.7855233098358382E-3"/>
                </c:manualLayout>
              </c:layout>
              <c:numFmt formatCode="General" sourceLinked="0"/>
            </c:trendlineLbl>
          </c:trendline>
          <c:xVal>
            <c:numRef>
              <c:f>TimeValue_2!$C$30:$C$39</c:f>
              <c:numCache>
                <c:formatCode>0.00</c:formatCode>
                <c:ptCount val="10"/>
                <c:pt idx="0">
                  <c:v>10</c:v>
                </c:pt>
                <c:pt idx="1">
                  <c:v>6.666666666666667</c:v>
                </c:pt>
                <c:pt idx="2">
                  <c:v>5</c:v>
                </c:pt>
                <c:pt idx="3">
                  <c:v>4</c:v>
                </c:pt>
                <c:pt idx="4">
                  <c:v>3.3333333333333335</c:v>
                </c:pt>
                <c:pt idx="5">
                  <c:v>2.8571428571428572</c:v>
                </c:pt>
                <c:pt idx="6">
                  <c:v>2.5</c:v>
                </c:pt>
                <c:pt idx="7">
                  <c:v>2.2222222222222223</c:v>
                </c:pt>
                <c:pt idx="8">
                  <c:v>2</c:v>
                </c:pt>
                <c:pt idx="9">
                  <c:v>1.6666666666666667</c:v>
                </c:pt>
              </c:numCache>
            </c:numRef>
          </c:xVal>
          <c:yVal>
            <c:numRef>
              <c:f>TimeValue_2!$P$30:$P$39</c:f>
              <c:numCache>
                <c:formatCode>0.00</c:formatCode>
                <c:ptCount val="10"/>
                <c:pt idx="0">
                  <c:v>13.085303410030292</c:v>
                </c:pt>
                <c:pt idx="1">
                  <c:v>8.2876120669889914</c:v>
                </c:pt>
                <c:pt idx="2">
                  <c:v>6.0188097555579843</c:v>
                </c:pt>
                <c:pt idx="3">
                  <c:v>4.7098311860347479</c:v>
                </c:pt>
                <c:pt idx="4">
                  <c:v>3.8689723683347372</c:v>
                </c:pt>
                <c:pt idx="5">
                  <c:v>3.2929488409288652</c:v>
                </c:pt>
                <c:pt idx="6">
                  <c:v>2.8825106925939994</c:v>
                </c:pt>
                <c:pt idx="7">
                  <c:v>2.5834450100383459</c:v>
                </c:pt>
                <c:pt idx="8">
                  <c:v>2.3636297063839509</c:v>
                </c:pt>
                <c:pt idx="9">
                  <c:v>2.0876023835317215</c:v>
                </c:pt>
              </c:numCache>
            </c:numRef>
          </c:yVal>
          <c:smooth val="0"/>
          <c:extLst>
            <c:ext xmlns:c16="http://schemas.microsoft.com/office/drawing/2014/chart" uri="{C3380CC4-5D6E-409C-BE32-E72D297353CC}">
              <c16:uniqueId val="{0000000A-7105-44E7-9E1C-67AD8C9DBEE2}"/>
            </c:ext>
          </c:extLst>
        </c:ser>
        <c:dLbls>
          <c:showLegendKey val="0"/>
          <c:showVal val="0"/>
          <c:showCatName val="0"/>
          <c:showSerName val="0"/>
          <c:showPercent val="0"/>
          <c:showBubbleSize val="0"/>
        </c:dLbls>
        <c:axId val="186001664"/>
        <c:axId val="186015744"/>
      </c:scatterChart>
      <c:valAx>
        <c:axId val="186001664"/>
        <c:scaling>
          <c:orientation val="minMax"/>
        </c:scaling>
        <c:delete val="0"/>
        <c:axPos val="b"/>
        <c:numFmt formatCode="0.00" sourceLinked="1"/>
        <c:majorTickMark val="out"/>
        <c:minorTickMark val="none"/>
        <c:tickLblPos val="nextTo"/>
        <c:crossAx val="186015744"/>
        <c:crosses val="autoZero"/>
        <c:crossBetween val="midCat"/>
      </c:valAx>
      <c:valAx>
        <c:axId val="186015744"/>
        <c:scaling>
          <c:orientation val="minMax"/>
        </c:scaling>
        <c:delete val="0"/>
        <c:axPos val="l"/>
        <c:majorGridlines/>
        <c:numFmt formatCode="0.00" sourceLinked="1"/>
        <c:majorTickMark val="out"/>
        <c:minorTickMark val="none"/>
        <c:tickLblPos val="nextTo"/>
        <c:crossAx val="186001664"/>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xVal>
            <c:numRef>
              <c:f>(TimeValue_2!$F$30:$F$39,TimeValue_2!$F$44:$F$53)</c:f>
              <c:numCache>
                <c:formatCode>0.00</c:formatCode>
                <c:ptCount val="20"/>
                <c:pt idx="0">
                  <c:v>170.01575609032147</c:v>
                </c:pt>
                <c:pt idx="1">
                  <c:v>92.970556718181911</c:v>
                </c:pt>
                <c:pt idx="2">
                  <c:v>62.475293410916315</c:v>
                </c:pt>
                <c:pt idx="3">
                  <c:v>46.606092693520381</c:v>
                </c:pt>
                <c:pt idx="4">
                  <c:v>36.995179304057665</c:v>
                </c:pt>
                <c:pt idx="5">
                  <c:v>30.588791699017989</c:v>
                </c:pt>
                <c:pt idx="6">
                  <c:v>26.028135068998701</c:v>
                </c:pt>
                <c:pt idx="7">
                  <c:v>22.622577330012231</c:v>
                </c:pt>
                <c:pt idx="8">
                  <c:v>19.985852692519167</c:v>
                </c:pt>
                <c:pt idx="9">
                  <c:v>16.174640945817352</c:v>
                </c:pt>
                <c:pt idx="10">
                  <c:v>72.210011177714932</c:v>
                </c:pt>
                <c:pt idx="11">
                  <c:v>48.140007451809957</c:v>
                </c:pt>
                <c:pt idx="12">
                  <c:v>36.105005588857466</c:v>
                </c:pt>
                <c:pt idx="13">
                  <c:v>28.884004471085969</c:v>
                </c:pt>
                <c:pt idx="14">
                  <c:v>24.070003725904979</c:v>
                </c:pt>
                <c:pt idx="15">
                  <c:v>20.631431765061407</c:v>
                </c:pt>
                <c:pt idx="16">
                  <c:v>18.052502794428733</c:v>
                </c:pt>
                <c:pt idx="17">
                  <c:v>16.046669150603318</c:v>
                </c:pt>
                <c:pt idx="18">
                  <c:v>14.442002235542985</c:v>
                </c:pt>
                <c:pt idx="19">
                  <c:v>12.035001862952489</c:v>
                </c:pt>
              </c:numCache>
            </c:numRef>
          </c:xVal>
          <c:yVal>
            <c:numRef>
              <c:f>(TimeValue_2!$G$30:$G$39,TimeValue_2!$G$44:$G$53)</c:f>
              <c:numCache>
                <c:formatCode>0.00</c:formatCode>
                <c:ptCount val="20"/>
                <c:pt idx="0">
                  <c:v>101.15797494182632</c:v>
                </c:pt>
                <c:pt idx="1">
                  <c:v>57.755878553166625</c:v>
                </c:pt>
                <c:pt idx="2">
                  <c:v>39.830130925057212</c:v>
                </c:pt>
                <c:pt idx="3">
                  <c:v>30.214433566691724</c:v>
                </c:pt>
                <c:pt idx="4">
                  <c:v>24.259907010970945</c:v>
                </c:pt>
                <c:pt idx="5">
                  <c:v>20.22357145171847</c:v>
                </c:pt>
                <c:pt idx="6">
                  <c:v>17.312492885181271</c:v>
                </c:pt>
                <c:pt idx="7">
                  <c:v>15.116193869494435</c:v>
                </c:pt>
                <c:pt idx="8">
                  <c:v>13.401554255078635</c:v>
                </c:pt>
                <c:pt idx="9">
                  <c:v>10.900081341662844</c:v>
                </c:pt>
                <c:pt idx="10">
                  <c:v>51.060188573318612</c:v>
                </c:pt>
                <c:pt idx="11">
                  <c:v>34.040125715545749</c:v>
                </c:pt>
                <c:pt idx="12">
                  <c:v>25.530094286659306</c:v>
                </c:pt>
                <c:pt idx="13">
                  <c:v>20.424075429327448</c:v>
                </c:pt>
                <c:pt idx="14">
                  <c:v>17.020062857772874</c:v>
                </c:pt>
                <c:pt idx="15">
                  <c:v>14.588625306662463</c:v>
                </c:pt>
                <c:pt idx="16">
                  <c:v>12.765047143329653</c:v>
                </c:pt>
                <c:pt idx="17">
                  <c:v>11.346708571848581</c:v>
                </c:pt>
                <c:pt idx="18">
                  <c:v>10.212037714663724</c:v>
                </c:pt>
                <c:pt idx="19">
                  <c:v>8.5100314288864372</c:v>
                </c:pt>
              </c:numCache>
            </c:numRef>
          </c:yVal>
          <c:smooth val="0"/>
          <c:extLst>
            <c:ext xmlns:c16="http://schemas.microsoft.com/office/drawing/2014/chart" uri="{C3380CC4-5D6E-409C-BE32-E72D297353CC}">
              <c16:uniqueId val="{00000000-E1F4-4781-921A-24658FF2DCCA}"/>
            </c:ext>
          </c:extLst>
        </c:ser>
        <c:ser>
          <c:idx val="1"/>
          <c:order val="1"/>
          <c:spPr>
            <a:ln w="28575">
              <a:noFill/>
            </a:ln>
          </c:spPr>
          <c:xVal>
            <c:numRef>
              <c:f>(TimeValue_2!$F$30:$F$39,TimeValue_2!$F$44:$F$53)</c:f>
              <c:numCache>
                <c:formatCode>0.00</c:formatCode>
                <c:ptCount val="20"/>
                <c:pt idx="0">
                  <c:v>170.01575609032147</c:v>
                </c:pt>
                <c:pt idx="1">
                  <c:v>92.970556718181911</c:v>
                </c:pt>
                <c:pt idx="2">
                  <c:v>62.475293410916315</c:v>
                </c:pt>
                <c:pt idx="3">
                  <c:v>46.606092693520381</c:v>
                </c:pt>
                <c:pt idx="4">
                  <c:v>36.995179304057665</c:v>
                </c:pt>
                <c:pt idx="5">
                  <c:v>30.588791699017989</c:v>
                </c:pt>
                <c:pt idx="6">
                  <c:v>26.028135068998701</c:v>
                </c:pt>
                <c:pt idx="7">
                  <c:v>22.622577330012231</c:v>
                </c:pt>
                <c:pt idx="8">
                  <c:v>19.985852692519167</c:v>
                </c:pt>
                <c:pt idx="9">
                  <c:v>16.174640945817352</c:v>
                </c:pt>
                <c:pt idx="10">
                  <c:v>72.210011177714932</c:v>
                </c:pt>
                <c:pt idx="11">
                  <c:v>48.140007451809957</c:v>
                </c:pt>
                <c:pt idx="12">
                  <c:v>36.105005588857466</c:v>
                </c:pt>
                <c:pt idx="13">
                  <c:v>28.884004471085969</c:v>
                </c:pt>
                <c:pt idx="14">
                  <c:v>24.070003725904979</c:v>
                </c:pt>
                <c:pt idx="15">
                  <c:v>20.631431765061407</c:v>
                </c:pt>
                <c:pt idx="16">
                  <c:v>18.052502794428733</c:v>
                </c:pt>
                <c:pt idx="17">
                  <c:v>16.046669150603318</c:v>
                </c:pt>
                <c:pt idx="18">
                  <c:v>14.442002235542985</c:v>
                </c:pt>
                <c:pt idx="19">
                  <c:v>12.035001862952489</c:v>
                </c:pt>
              </c:numCache>
            </c:numRef>
          </c:xVal>
          <c:yVal>
            <c:numRef>
              <c:f>(TimeValue_2!$H$30:$H$39,TimeValue_2!$H$44:$H$53)</c:f>
              <c:numCache>
                <c:formatCode>0.00</c:formatCode>
                <c:ptCount val="20"/>
                <c:pt idx="0">
                  <c:v>75.986359565458031</c:v>
                </c:pt>
                <c:pt idx="1">
                  <c:v>44.362542336557745</c:v>
                </c:pt>
                <c:pt idx="2">
                  <c:v>30.976201947532516</c:v>
                </c:pt>
                <c:pt idx="3">
                  <c:v>23.678191917633491</c:v>
                </c:pt>
                <c:pt idx="4">
                  <c:v>19.107582852050712</c:v>
                </c:pt>
                <c:pt idx="5">
                  <c:v>15.983796193288434</c:v>
                </c:pt>
                <c:pt idx="6">
                  <c:v>13.716928342686813</c:v>
                </c:pt>
                <c:pt idx="7">
                  <c:v>11.998556944937571</c:v>
                </c:pt>
                <c:pt idx="8">
                  <c:v>10.652104626458708</c:v>
                </c:pt>
                <c:pt idx="9">
                  <c:v>8.6802179109215309</c:v>
                </c:pt>
                <c:pt idx="10">
                  <c:v>41.690469391639596</c:v>
                </c:pt>
                <c:pt idx="11">
                  <c:v>27.793646261093066</c:v>
                </c:pt>
                <c:pt idx="12">
                  <c:v>20.845234695819798</c:v>
                </c:pt>
                <c:pt idx="13">
                  <c:v>16.676187756655839</c:v>
                </c:pt>
                <c:pt idx="14">
                  <c:v>13.896823130546533</c:v>
                </c:pt>
                <c:pt idx="15">
                  <c:v>11.911562683325599</c:v>
                </c:pt>
                <c:pt idx="16">
                  <c:v>10.422617347909899</c:v>
                </c:pt>
                <c:pt idx="17">
                  <c:v>9.2645487536976887</c:v>
                </c:pt>
                <c:pt idx="18">
                  <c:v>8.3380938783279195</c:v>
                </c:pt>
                <c:pt idx="19">
                  <c:v>6.9484115652732665</c:v>
                </c:pt>
              </c:numCache>
            </c:numRef>
          </c:yVal>
          <c:smooth val="0"/>
          <c:extLst>
            <c:ext xmlns:c16="http://schemas.microsoft.com/office/drawing/2014/chart" uri="{C3380CC4-5D6E-409C-BE32-E72D297353CC}">
              <c16:uniqueId val="{00000001-E1F4-4781-921A-24658FF2DCCA}"/>
            </c:ext>
          </c:extLst>
        </c:ser>
        <c:ser>
          <c:idx val="2"/>
          <c:order val="2"/>
          <c:spPr>
            <a:ln w="28575">
              <a:noFill/>
            </a:ln>
          </c:spPr>
          <c:xVal>
            <c:numRef>
              <c:f>(TimeValue_2!$F$30:$F$39,TimeValue_2!$F$44:$F$53)</c:f>
              <c:numCache>
                <c:formatCode>0.00</c:formatCode>
                <c:ptCount val="20"/>
                <c:pt idx="0">
                  <c:v>170.01575609032147</c:v>
                </c:pt>
                <c:pt idx="1">
                  <c:v>92.970556718181911</c:v>
                </c:pt>
                <c:pt idx="2">
                  <c:v>62.475293410916315</c:v>
                </c:pt>
                <c:pt idx="3">
                  <c:v>46.606092693520381</c:v>
                </c:pt>
                <c:pt idx="4">
                  <c:v>36.995179304057665</c:v>
                </c:pt>
                <c:pt idx="5">
                  <c:v>30.588791699017989</c:v>
                </c:pt>
                <c:pt idx="6">
                  <c:v>26.028135068998701</c:v>
                </c:pt>
                <c:pt idx="7">
                  <c:v>22.622577330012231</c:v>
                </c:pt>
                <c:pt idx="8">
                  <c:v>19.985852692519167</c:v>
                </c:pt>
                <c:pt idx="9">
                  <c:v>16.174640945817352</c:v>
                </c:pt>
                <c:pt idx="10">
                  <c:v>72.210011177714932</c:v>
                </c:pt>
                <c:pt idx="11">
                  <c:v>48.140007451809957</c:v>
                </c:pt>
                <c:pt idx="12">
                  <c:v>36.105005588857466</c:v>
                </c:pt>
                <c:pt idx="13">
                  <c:v>28.884004471085969</c:v>
                </c:pt>
                <c:pt idx="14">
                  <c:v>24.070003725904979</c:v>
                </c:pt>
                <c:pt idx="15">
                  <c:v>20.631431765061407</c:v>
                </c:pt>
                <c:pt idx="16">
                  <c:v>18.052502794428733</c:v>
                </c:pt>
                <c:pt idx="17">
                  <c:v>16.046669150603318</c:v>
                </c:pt>
                <c:pt idx="18">
                  <c:v>14.442002235542985</c:v>
                </c:pt>
                <c:pt idx="19">
                  <c:v>12.035001862952489</c:v>
                </c:pt>
              </c:numCache>
            </c:numRef>
          </c:xVal>
          <c:yVal>
            <c:numRef>
              <c:f>(TimeValue_2!$I$30:$I$39,TimeValue_2!$I$44:$I$53)</c:f>
              <c:numCache>
                <c:formatCode>0.00</c:formatCode>
                <c:ptCount val="20"/>
                <c:pt idx="0">
                  <c:v>62.475293410916315</c:v>
                </c:pt>
                <c:pt idx="1">
                  <c:v>36.995179304057665</c:v>
                </c:pt>
                <c:pt idx="2">
                  <c:v>26.028135068998701</c:v>
                </c:pt>
                <c:pt idx="3">
                  <c:v>19.985852692519167</c:v>
                </c:pt>
                <c:pt idx="4">
                  <c:v>16.174640945817352</c:v>
                </c:pt>
                <c:pt idx="5">
                  <c:v>13.556665965084541</c:v>
                </c:pt>
                <c:pt idx="6">
                  <c:v>11.649824733727762</c:v>
                </c:pt>
                <c:pt idx="7">
                  <c:v>10.200408595068872</c:v>
                </c:pt>
                <c:pt idx="8">
                  <c:v>9.062405814594662</c:v>
                </c:pt>
                <c:pt idx="9">
                  <c:v>7.3926308491242931</c:v>
                </c:pt>
                <c:pt idx="10">
                  <c:v>36.105005588857466</c:v>
                </c:pt>
                <c:pt idx="11">
                  <c:v>24.070003725904979</c:v>
                </c:pt>
                <c:pt idx="12">
                  <c:v>18.052502794428733</c:v>
                </c:pt>
                <c:pt idx="13">
                  <c:v>14.442002235542985</c:v>
                </c:pt>
                <c:pt idx="14">
                  <c:v>12.035001862952489</c:v>
                </c:pt>
                <c:pt idx="15">
                  <c:v>10.315715882530704</c:v>
                </c:pt>
                <c:pt idx="16">
                  <c:v>9.0262513972143665</c:v>
                </c:pt>
                <c:pt idx="17">
                  <c:v>8.0233345753016589</c:v>
                </c:pt>
                <c:pt idx="18">
                  <c:v>7.2210011177714923</c:v>
                </c:pt>
                <c:pt idx="19">
                  <c:v>6.0175009314762447</c:v>
                </c:pt>
              </c:numCache>
            </c:numRef>
          </c:yVal>
          <c:smooth val="0"/>
          <c:extLst>
            <c:ext xmlns:c16="http://schemas.microsoft.com/office/drawing/2014/chart" uri="{C3380CC4-5D6E-409C-BE32-E72D297353CC}">
              <c16:uniqueId val="{00000002-E1F4-4781-921A-24658FF2DCCA}"/>
            </c:ext>
          </c:extLst>
        </c:ser>
        <c:ser>
          <c:idx val="3"/>
          <c:order val="3"/>
          <c:spPr>
            <a:ln w="28575">
              <a:noFill/>
            </a:ln>
          </c:spPr>
          <c:xVal>
            <c:numRef>
              <c:f>(TimeValue_2!$F$30:$F$39,TimeValue_2!$F$44:$F$53)</c:f>
              <c:numCache>
                <c:formatCode>0.00</c:formatCode>
                <c:ptCount val="20"/>
                <c:pt idx="0">
                  <c:v>170.01575609032147</c:v>
                </c:pt>
                <c:pt idx="1">
                  <c:v>92.970556718181911</c:v>
                </c:pt>
                <c:pt idx="2">
                  <c:v>62.475293410916315</c:v>
                </c:pt>
                <c:pt idx="3">
                  <c:v>46.606092693520381</c:v>
                </c:pt>
                <c:pt idx="4">
                  <c:v>36.995179304057665</c:v>
                </c:pt>
                <c:pt idx="5">
                  <c:v>30.588791699017989</c:v>
                </c:pt>
                <c:pt idx="6">
                  <c:v>26.028135068998701</c:v>
                </c:pt>
                <c:pt idx="7">
                  <c:v>22.622577330012231</c:v>
                </c:pt>
                <c:pt idx="8">
                  <c:v>19.985852692519167</c:v>
                </c:pt>
                <c:pt idx="9">
                  <c:v>16.174640945817352</c:v>
                </c:pt>
                <c:pt idx="10">
                  <c:v>72.210011177714932</c:v>
                </c:pt>
                <c:pt idx="11">
                  <c:v>48.140007451809957</c:v>
                </c:pt>
                <c:pt idx="12">
                  <c:v>36.105005588857466</c:v>
                </c:pt>
                <c:pt idx="13">
                  <c:v>28.884004471085969</c:v>
                </c:pt>
                <c:pt idx="14">
                  <c:v>24.070003725904979</c:v>
                </c:pt>
                <c:pt idx="15">
                  <c:v>20.631431765061407</c:v>
                </c:pt>
                <c:pt idx="16">
                  <c:v>18.052502794428733</c:v>
                </c:pt>
                <c:pt idx="17">
                  <c:v>16.046669150603318</c:v>
                </c:pt>
                <c:pt idx="18">
                  <c:v>14.442002235542985</c:v>
                </c:pt>
                <c:pt idx="19">
                  <c:v>12.035001862952489</c:v>
                </c:pt>
              </c:numCache>
            </c:numRef>
          </c:xVal>
          <c:yVal>
            <c:numRef>
              <c:f>(TimeValue_2!$J$30:$J$39,TimeValue_2!$J$44:$J$53)</c:f>
              <c:numCache>
                <c:formatCode>0.00</c:formatCode>
                <c:ptCount val="20"/>
                <c:pt idx="0">
                  <c:v>53.87765196748623</c:v>
                </c:pt>
                <c:pt idx="1">
                  <c:v>32.224598080802011</c:v>
                </c:pt>
                <c:pt idx="2">
                  <c:v>22.789427844915842</c:v>
                </c:pt>
                <c:pt idx="3">
                  <c:v>17.551803681288693</c:v>
                </c:pt>
                <c:pt idx="4">
                  <c:v>14.231602034120304</c:v>
                </c:pt>
                <c:pt idx="5">
                  <c:v>11.942993487882326</c:v>
                </c:pt>
                <c:pt idx="6">
                  <c:v>10.271950750406152</c:v>
                </c:pt>
                <c:pt idx="7">
                  <c:v>8.9995596910072138</c:v>
                </c:pt>
                <c:pt idx="8">
                  <c:v>7.9993611661427231</c:v>
                </c:pt>
                <c:pt idx="9">
                  <c:v>6.530464976990797</c:v>
                </c:pt>
                <c:pt idx="10">
                  <c:v>32.293298729878046</c:v>
                </c:pt>
                <c:pt idx="11">
                  <c:v>21.528865819918696</c:v>
                </c:pt>
                <c:pt idx="12">
                  <c:v>16.146649364939023</c:v>
                </c:pt>
                <c:pt idx="13">
                  <c:v>12.917319491951218</c:v>
                </c:pt>
                <c:pt idx="14">
                  <c:v>10.764432909959348</c:v>
                </c:pt>
                <c:pt idx="15">
                  <c:v>9.2266567799651558</c:v>
                </c:pt>
                <c:pt idx="16">
                  <c:v>8.0733246824695115</c:v>
                </c:pt>
                <c:pt idx="17">
                  <c:v>7.1762886066395657</c:v>
                </c:pt>
                <c:pt idx="18">
                  <c:v>6.4586597459756092</c:v>
                </c:pt>
                <c:pt idx="19">
                  <c:v>5.382216454979674</c:v>
                </c:pt>
              </c:numCache>
            </c:numRef>
          </c:yVal>
          <c:smooth val="0"/>
          <c:extLst>
            <c:ext xmlns:c16="http://schemas.microsoft.com/office/drawing/2014/chart" uri="{C3380CC4-5D6E-409C-BE32-E72D297353CC}">
              <c16:uniqueId val="{00000003-E1F4-4781-921A-24658FF2DCCA}"/>
            </c:ext>
          </c:extLst>
        </c:ser>
        <c:ser>
          <c:idx val="4"/>
          <c:order val="4"/>
          <c:spPr>
            <a:ln w="28575">
              <a:noFill/>
            </a:ln>
          </c:spPr>
          <c:xVal>
            <c:numRef>
              <c:f>(TimeValue_2!$F$30:$F$39,TimeValue_2!$F$44:$F$53)</c:f>
              <c:numCache>
                <c:formatCode>0.00</c:formatCode>
                <c:ptCount val="20"/>
                <c:pt idx="0">
                  <c:v>170.01575609032147</c:v>
                </c:pt>
                <c:pt idx="1">
                  <c:v>92.970556718181911</c:v>
                </c:pt>
                <c:pt idx="2">
                  <c:v>62.475293410916315</c:v>
                </c:pt>
                <c:pt idx="3">
                  <c:v>46.606092693520381</c:v>
                </c:pt>
                <c:pt idx="4">
                  <c:v>36.995179304057665</c:v>
                </c:pt>
                <c:pt idx="5">
                  <c:v>30.588791699017989</c:v>
                </c:pt>
                <c:pt idx="6">
                  <c:v>26.028135068998701</c:v>
                </c:pt>
                <c:pt idx="7">
                  <c:v>22.622577330012231</c:v>
                </c:pt>
                <c:pt idx="8">
                  <c:v>19.985852692519167</c:v>
                </c:pt>
                <c:pt idx="9">
                  <c:v>16.174640945817352</c:v>
                </c:pt>
                <c:pt idx="10">
                  <c:v>72.210011177714932</c:v>
                </c:pt>
                <c:pt idx="11">
                  <c:v>48.140007451809957</c:v>
                </c:pt>
                <c:pt idx="12">
                  <c:v>36.105005588857466</c:v>
                </c:pt>
                <c:pt idx="13">
                  <c:v>28.884004471085969</c:v>
                </c:pt>
                <c:pt idx="14">
                  <c:v>24.070003725904979</c:v>
                </c:pt>
                <c:pt idx="15">
                  <c:v>20.631431765061407</c:v>
                </c:pt>
                <c:pt idx="16">
                  <c:v>18.052502794428733</c:v>
                </c:pt>
                <c:pt idx="17">
                  <c:v>16.046669150603318</c:v>
                </c:pt>
                <c:pt idx="18">
                  <c:v>14.442002235542985</c:v>
                </c:pt>
                <c:pt idx="19">
                  <c:v>12.035001862952489</c:v>
                </c:pt>
              </c:numCache>
            </c:numRef>
          </c:xVal>
          <c:yVal>
            <c:numRef>
              <c:f>(TimeValue_2!$K$30:$K$39,TimeValue_2!$K$44:$K$53)</c:f>
              <c:numCache>
                <c:formatCode>0.00</c:formatCode>
                <c:ptCount val="20"/>
                <c:pt idx="0">
                  <c:v>47.848327380695252</c:v>
                </c:pt>
                <c:pt idx="1">
                  <c:v>28.834286048473508</c:v>
                </c:pt>
                <c:pt idx="2">
                  <c:v>20.469353661069043</c:v>
                </c:pt>
                <c:pt idx="3">
                  <c:v>15.799132745346011</c:v>
                </c:pt>
                <c:pt idx="4">
                  <c:v>12.82756274983754</c:v>
                </c:pt>
                <c:pt idx="5">
                  <c:v>10.774086121807912</c:v>
                </c:pt>
                <c:pt idx="6">
                  <c:v>9.2721363954694631</c:v>
                </c:pt>
                <c:pt idx="7">
                  <c:v>8.1271894158066544</c:v>
                </c:pt>
                <c:pt idx="8">
                  <c:v>7.2265536995740227</c:v>
                </c:pt>
                <c:pt idx="9">
                  <c:v>5.9035017074580143</c:v>
                </c:pt>
                <c:pt idx="10">
                  <c:v>29.479613617678559</c:v>
                </c:pt>
                <c:pt idx="11">
                  <c:v>19.653075745119036</c:v>
                </c:pt>
                <c:pt idx="12">
                  <c:v>14.73980680883928</c:v>
                </c:pt>
                <c:pt idx="13">
                  <c:v>11.791845447071424</c:v>
                </c:pt>
                <c:pt idx="14">
                  <c:v>9.826537872559518</c:v>
                </c:pt>
                <c:pt idx="15">
                  <c:v>8.4227467479081604</c:v>
                </c:pt>
                <c:pt idx="16">
                  <c:v>7.3699034044196399</c:v>
                </c:pt>
                <c:pt idx="17">
                  <c:v>6.551025248373012</c:v>
                </c:pt>
                <c:pt idx="18">
                  <c:v>5.8959227235357119</c:v>
                </c:pt>
                <c:pt idx="19">
                  <c:v>4.913268936279759</c:v>
                </c:pt>
              </c:numCache>
            </c:numRef>
          </c:yVal>
          <c:smooth val="0"/>
          <c:extLst>
            <c:ext xmlns:c16="http://schemas.microsoft.com/office/drawing/2014/chart" uri="{C3380CC4-5D6E-409C-BE32-E72D297353CC}">
              <c16:uniqueId val="{00000004-E1F4-4781-921A-24658FF2DCCA}"/>
            </c:ext>
          </c:extLst>
        </c:ser>
        <c:ser>
          <c:idx val="5"/>
          <c:order val="5"/>
          <c:spPr>
            <a:ln w="28575">
              <a:noFill/>
            </a:ln>
          </c:spPr>
          <c:xVal>
            <c:numRef>
              <c:f>(TimeValue_2!$F$30:$F$39,TimeValue_2!$F$44:$F$53)</c:f>
              <c:numCache>
                <c:formatCode>0.00</c:formatCode>
                <c:ptCount val="20"/>
                <c:pt idx="0">
                  <c:v>170.01575609032147</c:v>
                </c:pt>
                <c:pt idx="1">
                  <c:v>92.970556718181911</c:v>
                </c:pt>
                <c:pt idx="2">
                  <c:v>62.475293410916315</c:v>
                </c:pt>
                <c:pt idx="3">
                  <c:v>46.606092693520381</c:v>
                </c:pt>
                <c:pt idx="4">
                  <c:v>36.995179304057665</c:v>
                </c:pt>
                <c:pt idx="5">
                  <c:v>30.588791699017989</c:v>
                </c:pt>
                <c:pt idx="6">
                  <c:v>26.028135068998701</c:v>
                </c:pt>
                <c:pt idx="7">
                  <c:v>22.622577330012231</c:v>
                </c:pt>
                <c:pt idx="8">
                  <c:v>19.985852692519167</c:v>
                </c:pt>
                <c:pt idx="9">
                  <c:v>16.174640945817352</c:v>
                </c:pt>
                <c:pt idx="10">
                  <c:v>72.210011177714932</c:v>
                </c:pt>
                <c:pt idx="11">
                  <c:v>48.140007451809957</c:v>
                </c:pt>
                <c:pt idx="12">
                  <c:v>36.105005588857466</c:v>
                </c:pt>
                <c:pt idx="13">
                  <c:v>28.884004471085969</c:v>
                </c:pt>
                <c:pt idx="14">
                  <c:v>24.070003725904979</c:v>
                </c:pt>
                <c:pt idx="15">
                  <c:v>20.631431765061407</c:v>
                </c:pt>
                <c:pt idx="16">
                  <c:v>18.052502794428733</c:v>
                </c:pt>
                <c:pt idx="17">
                  <c:v>16.046669150603318</c:v>
                </c:pt>
                <c:pt idx="18">
                  <c:v>14.442002235542985</c:v>
                </c:pt>
                <c:pt idx="19">
                  <c:v>12.035001862952489</c:v>
                </c:pt>
              </c:numCache>
            </c:numRef>
          </c:xVal>
          <c:yVal>
            <c:numRef>
              <c:f>(TimeValue_2!$L$30:$L$39,TimeValue_2!$L$44:$L$53)</c:f>
              <c:numCache>
                <c:formatCode>0.00</c:formatCode>
                <c:ptCount val="20"/>
                <c:pt idx="0">
                  <c:v>29.700904051736114</c:v>
                </c:pt>
                <c:pt idx="1">
                  <c:v>18.355585954171289</c:v>
                </c:pt>
                <c:pt idx="2">
                  <c:v>13.188377359230394</c:v>
                </c:pt>
                <c:pt idx="3">
                  <c:v>10.246238173757176</c:v>
                </c:pt>
                <c:pt idx="4">
                  <c:v>8.3517325530270128</c:v>
                </c:pt>
                <c:pt idx="5">
                  <c:v>7.0330914913576104</c:v>
                </c:pt>
                <c:pt idx="6">
                  <c:v>6.0648977296020874</c:v>
                </c:pt>
                <c:pt idx="7">
                  <c:v>5.32596895792505</c:v>
                </c:pt>
                <c:pt idx="8">
                  <c:v>4.7453892302396632</c:v>
                </c:pt>
                <c:pt idx="9">
                  <c:v>3.8974902376615912</c:v>
                </c:pt>
                <c:pt idx="10">
                  <c:v>20.138409955990952</c:v>
                </c:pt>
                <c:pt idx="11">
                  <c:v>13.425606637327304</c:v>
                </c:pt>
                <c:pt idx="12">
                  <c:v>10.069204977995476</c:v>
                </c:pt>
                <c:pt idx="13">
                  <c:v>8.055363982396381</c:v>
                </c:pt>
                <c:pt idx="14">
                  <c:v>6.712803318663652</c:v>
                </c:pt>
                <c:pt idx="15">
                  <c:v>5.7538314159974151</c:v>
                </c:pt>
                <c:pt idx="16">
                  <c:v>5.0346024889977379</c:v>
                </c:pt>
                <c:pt idx="17">
                  <c:v>4.4752022124424338</c:v>
                </c:pt>
                <c:pt idx="18">
                  <c:v>4.0276819911981905</c:v>
                </c:pt>
                <c:pt idx="19">
                  <c:v>3.356401659331826</c:v>
                </c:pt>
              </c:numCache>
            </c:numRef>
          </c:yVal>
          <c:smooth val="0"/>
          <c:extLst>
            <c:ext xmlns:c16="http://schemas.microsoft.com/office/drawing/2014/chart" uri="{C3380CC4-5D6E-409C-BE32-E72D297353CC}">
              <c16:uniqueId val="{00000005-E1F4-4781-921A-24658FF2DCCA}"/>
            </c:ext>
          </c:extLst>
        </c:ser>
        <c:ser>
          <c:idx val="6"/>
          <c:order val="6"/>
          <c:spPr>
            <a:ln w="28575">
              <a:noFill/>
            </a:ln>
          </c:spPr>
          <c:xVal>
            <c:numRef>
              <c:f>(TimeValue_2!$F$30:$F$39,TimeValue_2!$F$44:$F$53)</c:f>
              <c:numCache>
                <c:formatCode>0.00</c:formatCode>
                <c:ptCount val="20"/>
                <c:pt idx="0">
                  <c:v>170.01575609032147</c:v>
                </c:pt>
                <c:pt idx="1">
                  <c:v>92.970556718181911</c:v>
                </c:pt>
                <c:pt idx="2">
                  <c:v>62.475293410916315</c:v>
                </c:pt>
                <c:pt idx="3">
                  <c:v>46.606092693520381</c:v>
                </c:pt>
                <c:pt idx="4">
                  <c:v>36.995179304057665</c:v>
                </c:pt>
                <c:pt idx="5">
                  <c:v>30.588791699017989</c:v>
                </c:pt>
                <c:pt idx="6">
                  <c:v>26.028135068998701</c:v>
                </c:pt>
                <c:pt idx="7">
                  <c:v>22.622577330012231</c:v>
                </c:pt>
                <c:pt idx="8">
                  <c:v>19.985852692519167</c:v>
                </c:pt>
                <c:pt idx="9">
                  <c:v>16.174640945817352</c:v>
                </c:pt>
                <c:pt idx="10">
                  <c:v>72.210011177714932</c:v>
                </c:pt>
                <c:pt idx="11">
                  <c:v>48.140007451809957</c:v>
                </c:pt>
                <c:pt idx="12">
                  <c:v>36.105005588857466</c:v>
                </c:pt>
                <c:pt idx="13">
                  <c:v>28.884004471085969</c:v>
                </c:pt>
                <c:pt idx="14">
                  <c:v>24.070003725904979</c:v>
                </c:pt>
                <c:pt idx="15">
                  <c:v>20.631431765061407</c:v>
                </c:pt>
                <c:pt idx="16">
                  <c:v>18.052502794428733</c:v>
                </c:pt>
                <c:pt idx="17">
                  <c:v>16.046669150603318</c:v>
                </c:pt>
                <c:pt idx="18">
                  <c:v>14.442002235542985</c:v>
                </c:pt>
                <c:pt idx="19">
                  <c:v>12.035001862952489</c:v>
                </c:pt>
              </c:numCache>
            </c:numRef>
          </c:xVal>
          <c:yVal>
            <c:numRef>
              <c:f>(TimeValue_2!$M$30:$M$39,TimeValue_2!$M$44:$M$53)</c:f>
              <c:numCache>
                <c:formatCode>0.00</c:formatCode>
                <c:ptCount val="20"/>
                <c:pt idx="0">
                  <c:v>19.659409378101838</c:v>
                </c:pt>
                <c:pt idx="1">
                  <c:v>12.334936439332743</c:v>
                </c:pt>
                <c:pt idx="2">
                  <c:v>8.9205340361275915</c:v>
                </c:pt>
                <c:pt idx="3">
                  <c:v>6.9545545191452138</c:v>
                </c:pt>
                <c:pt idx="4">
                  <c:v>5.6828784981059526</c:v>
                </c:pt>
                <c:pt idx="5">
                  <c:v>4.797995391731452</c:v>
                </c:pt>
                <c:pt idx="6">
                  <c:v>4.1511767102092518</c:v>
                </c:pt>
                <c:pt idx="7">
                  <c:v>3.6617477445817963</c:v>
                </c:pt>
                <c:pt idx="8">
                  <c:v>3.2821699181451374</c:v>
                </c:pt>
                <c:pt idx="9">
                  <c:v>2.7434220425862064</c:v>
                </c:pt>
                <c:pt idx="10">
                  <c:v>14.240006242195882</c:v>
                </c:pt>
                <c:pt idx="11">
                  <c:v>9.4933374947972577</c:v>
                </c:pt>
                <c:pt idx="12">
                  <c:v>7.1200031210979411</c:v>
                </c:pt>
                <c:pt idx="13">
                  <c:v>5.6960024968783536</c:v>
                </c:pt>
                <c:pt idx="14">
                  <c:v>4.7466687473986289</c:v>
                </c:pt>
                <c:pt idx="15">
                  <c:v>4.0685732120559672</c:v>
                </c:pt>
                <c:pt idx="16">
                  <c:v>3.5600015605489705</c:v>
                </c:pt>
                <c:pt idx="17">
                  <c:v>3.1644458315990858</c:v>
                </c:pt>
                <c:pt idx="18">
                  <c:v>2.8480012484391768</c:v>
                </c:pt>
                <c:pt idx="19">
                  <c:v>2.3733343736993144</c:v>
                </c:pt>
              </c:numCache>
            </c:numRef>
          </c:yVal>
          <c:smooth val="0"/>
          <c:extLst>
            <c:ext xmlns:c16="http://schemas.microsoft.com/office/drawing/2014/chart" uri="{C3380CC4-5D6E-409C-BE32-E72D297353CC}">
              <c16:uniqueId val="{00000006-E1F4-4781-921A-24658FF2DCCA}"/>
            </c:ext>
          </c:extLst>
        </c:ser>
        <c:ser>
          <c:idx val="7"/>
          <c:order val="7"/>
          <c:spPr>
            <a:ln w="28575">
              <a:noFill/>
            </a:ln>
          </c:spPr>
          <c:xVal>
            <c:numRef>
              <c:f>(TimeValue_2!$F$30:$F$39,TimeValue_2!$F$44:$F$53)</c:f>
              <c:numCache>
                <c:formatCode>0.00</c:formatCode>
                <c:ptCount val="20"/>
                <c:pt idx="0">
                  <c:v>170.01575609032147</c:v>
                </c:pt>
                <c:pt idx="1">
                  <c:v>92.970556718181911</c:v>
                </c:pt>
                <c:pt idx="2">
                  <c:v>62.475293410916315</c:v>
                </c:pt>
                <c:pt idx="3">
                  <c:v>46.606092693520381</c:v>
                </c:pt>
                <c:pt idx="4">
                  <c:v>36.995179304057665</c:v>
                </c:pt>
                <c:pt idx="5">
                  <c:v>30.588791699017989</c:v>
                </c:pt>
                <c:pt idx="6">
                  <c:v>26.028135068998701</c:v>
                </c:pt>
                <c:pt idx="7">
                  <c:v>22.622577330012231</c:v>
                </c:pt>
                <c:pt idx="8">
                  <c:v>19.985852692519167</c:v>
                </c:pt>
                <c:pt idx="9">
                  <c:v>16.174640945817352</c:v>
                </c:pt>
                <c:pt idx="10">
                  <c:v>72.210011177714932</c:v>
                </c:pt>
                <c:pt idx="11">
                  <c:v>48.140007451809957</c:v>
                </c:pt>
                <c:pt idx="12">
                  <c:v>36.105005588857466</c:v>
                </c:pt>
                <c:pt idx="13">
                  <c:v>28.884004471085969</c:v>
                </c:pt>
                <c:pt idx="14">
                  <c:v>24.070003725904979</c:v>
                </c:pt>
                <c:pt idx="15">
                  <c:v>20.631431765061407</c:v>
                </c:pt>
                <c:pt idx="16">
                  <c:v>18.052502794428733</c:v>
                </c:pt>
                <c:pt idx="17">
                  <c:v>16.046669150603318</c:v>
                </c:pt>
                <c:pt idx="18">
                  <c:v>14.442002235542985</c:v>
                </c:pt>
                <c:pt idx="19">
                  <c:v>12.035001862952489</c:v>
                </c:pt>
              </c:numCache>
            </c:numRef>
          </c:xVal>
          <c:yVal>
            <c:numRef>
              <c:f>(TimeValue_2!$N$30:$N$39,TimeValue_2!$N$44:$N$53)</c:f>
              <c:numCache>
                <c:formatCode>0.00</c:formatCode>
                <c:ptCount val="20"/>
                <c:pt idx="0">
                  <c:v>15.54541828217301</c:v>
                </c:pt>
                <c:pt idx="1">
                  <c:v>9.8123656486652635</c:v>
                </c:pt>
                <c:pt idx="2">
                  <c:v>7.1141911987854822</c:v>
                </c:pt>
                <c:pt idx="3">
                  <c:v>5.556415181669756</c:v>
                </c:pt>
                <c:pt idx="4">
                  <c:v>4.5506497262478707</c:v>
                </c:pt>
                <c:pt idx="5">
                  <c:v>3.8549501440640448</c:v>
                </c:pt>
                <c:pt idx="6">
                  <c:v>3.3516277949642261</c:v>
                </c:pt>
                <c:pt idx="7">
                  <c:v>2.9765754217699172</c:v>
                </c:pt>
                <c:pt idx="8">
                  <c:v>2.6918927698106545</c:v>
                </c:pt>
                <c:pt idx="9">
                  <c:v>2.3063485612878516</c:v>
                </c:pt>
                <c:pt idx="10">
                  <c:v>11.626916409142416</c:v>
                </c:pt>
                <c:pt idx="11">
                  <c:v>7.751277606094944</c:v>
                </c:pt>
                <c:pt idx="12">
                  <c:v>5.8134582045712078</c:v>
                </c:pt>
                <c:pt idx="13">
                  <c:v>4.6507665636569664</c:v>
                </c:pt>
                <c:pt idx="14">
                  <c:v>3.875638803047472</c:v>
                </c:pt>
                <c:pt idx="15">
                  <c:v>3.3219761168978339</c:v>
                </c:pt>
                <c:pt idx="16">
                  <c:v>2.9067291022856039</c:v>
                </c:pt>
                <c:pt idx="17">
                  <c:v>2.5837592020316484</c:v>
                </c:pt>
                <c:pt idx="18">
                  <c:v>2.3253832818284832</c:v>
                </c:pt>
                <c:pt idx="19">
                  <c:v>1.937819401523736</c:v>
                </c:pt>
              </c:numCache>
            </c:numRef>
          </c:yVal>
          <c:smooth val="0"/>
          <c:extLst>
            <c:ext xmlns:c16="http://schemas.microsoft.com/office/drawing/2014/chart" uri="{C3380CC4-5D6E-409C-BE32-E72D297353CC}">
              <c16:uniqueId val="{00000007-E1F4-4781-921A-24658FF2DCCA}"/>
            </c:ext>
          </c:extLst>
        </c:ser>
        <c:ser>
          <c:idx val="8"/>
          <c:order val="8"/>
          <c:spPr>
            <a:ln w="28575">
              <a:noFill/>
            </a:ln>
          </c:spPr>
          <c:xVal>
            <c:numRef>
              <c:f>(TimeValue_2!$F$30:$F$39,TimeValue_2!$F$44:$F$53)</c:f>
              <c:numCache>
                <c:formatCode>0.00</c:formatCode>
                <c:ptCount val="20"/>
                <c:pt idx="0">
                  <c:v>170.01575609032147</c:v>
                </c:pt>
                <c:pt idx="1">
                  <c:v>92.970556718181911</c:v>
                </c:pt>
                <c:pt idx="2">
                  <c:v>62.475293410916315</c:v>
                </c:pt>
                <c:pt idx="3">
                  <c:v>46.606092693520381</c:v>
                </c:pt>
                <c:pt idx="4">
                  <c:v>36.995179304057665</c:v>
                </c:pt>
                <c:pt idx="5">
                  <c:v>30.588791699017989</c:v>
                </c:pt>
                <c:pt idx="6">
                  <c:v>26.028135068998701</c:v>
                </c:pt>
                <c:pt idx="7">
                  <c:v>22.622577330012231</c:v>
                </c:pt>
                <c:pt idx="8">
                  <c:v>19.985852692519167</c:v>
                </c:pt>
                <c:pt idx="9">
                  <c:v>16.174640945817352</c:v>
                </c:pt>
                <c:pt idx="10">
                  <c:v>72.210011177714932</c:v>
                </c:pt>
                <c:pt idx="11">
                  <c:v>48.140007451809957</c:v>
                </c:pt>
                <c:pt idx="12">
                  <c:v>36.105005588857466</c:v>
                </c:pt>
                <c:pt idx="13">
                  <c:v>28.884004471085969</c:v>
                </c:pt>
                <c:pt idx="14">
                  <c:v>24.070003725904979</c:v>
                </c:pt>
                <c:pt idx="15">
                  <c:v>20.631431765061407</c:v>
                </c:pt>
                <c:pt idx="16">
                  <c:v>18.052502794428733</c:v>
                </c:pt>
                <c:pt idx="17">
                  <c:v>16.046669150603318</c:v>
                </c:pt>
                <c:pt idx="18">
                  <c:v>14.442002235542985</c:v>
                </c:pt>
                <c:pt idx="19">
                  <c:v>12.035001862952489</c:v>
                </c:pt>
              </c:numCache>
            </c:numRef>
          </c:xVal>
          <c:yVal>
            <c:numRef>
              <c:f>(TimeValue_2!$O$30:$O$39,TimeValue_2!$O$44:$O$53)</c:f>
              <c:numCache>
                <c:formatCode>0.00</c:formatCode>
                <c:ptCount val="20"/>
                <c:pt idx="0">
                  <c:v>13.188377359230394</c:v>
                </c:pt>
                <c:pt idx="1">
                  <c:v>8.3517325530270128</c:v>
                </c:pt>
                <c:pt idx="2">
                  <c:v>6.0648977296020874</c:v>
                </c:pt>
                <c:pt idx="3">
                  <c:v>4.7453892302396632</c:v>
                </c:pt>
                <c:pt idx="4">
                  <c:v>3.8974902376615912</c:v>
                </c:pt>
                <c:pt idx="5">
                  <c:v>3.3163051154507555</c:v>
                </c:pt>
                <c:pt idx="6">
                  <c:v>2.9018133713915235</c:v>
                </c:pt>
                <c:pt idx="7">
                  <c:v>2.5993878010555691</c:v>
                </c:pt>
                <c:pt idx="8">
                  <c:v>2.3766640777604402</c:v>
                </c:pt>
                <c:pt idx="9">
                  <c:v>2.0956231010880892</c:v>
                </c:pt>
                <c:pt idx="10">
                  <c:v>10.069204977995476</c:v>
                </c:pt>
                <c:pt idx="11">
                  <c:v>6.712803318663652</c:v>
                </c:pt>
                <c:pt idx="12">
                  <c:v>5.0346024889977379</c:v>
                </c:pt>
                <c:pt idx="13">
                  <c:v>4.0276819911981905</c:v>
                </c:pt>
                <c:pt idx="14">
                  <c:v>3.356401659331826</c:v>
                </c:pt>
                <c:pt idx="15">
                  <c:v>2.8769157079987075</c:v>
                </c:pt>
                <c:pt idx="16">
                  <c:v>2.5173012444988689</c:v>
                </c:pt>
                <c:pt idx="17">
                  <c:v>2.2376011062212169</c:v>
                </c:pt>
                <c:pt idx="18">
                  <c:v>2.0138409955990952</c:v>
                </c:pt>
                <c:pt idx="19">
                  <c:v>1.678200829665913</c:v>
                </c:pt>
              </c:numCache>
            </c:numRef>
          </c:yVal>
          <c:smooth val="0"/>
          <c:extLst>
            <c:ext xmlns:c16="http://schemas.microsoft.com/office/drawing/2014/chart" uri="{C3380CC4-5D6E-409C-BE32-E72D297353CC}">
              <c16:uniqueId val="{00000008-E1F4-4781-921A-24658FF2DCCA}"/>
            </c:ext>
          </c:extLst>
        </c:ser>
        <c:ser>
          <c:idx val="9"/>
          <c:order val="9"/>
          <c:spPr>
            <a:ln w="28575">
              <a:noFill/>
            </a:ln>
          </c:spPr>
          <c:xVal>
            <c:numRef>
              <c:f>(TimeValue_2!$F$30:$F$39,TimeValue_2!$F$44:$F$53)</c:f>
              <c:numCache>
                <c:formatCode>0.00</c:formatCode>
                <c:ptCount val="20"/>
                <c:pt idx="0">
                  <c:v>170.01575609032147</c:v>
                </c:pt>
                <c:pt idx="1">
                  <c:v>92.970556718181911</c:v>
                </c:pt>
                <c:pt idx="2">
                  <c:v>62.475293410916315</c:v>
                </c:pt>
                <c:pt idx="3">
                  <c:v>46.606092693520381</c:v>
                </c:pt>
                <c:pt idx="4">
                  <c:v>36.995179304057665</c:v>
                </c:pt>
                <c:pt idx="5">
                  <c:v>30.588791699017989</c:v>
                </c:pt>
                <c:pt idx="6">
                  <c:v>26.028135068998701</c:v>
                </c:pt>
                <c:pt idx="7">
                  <c:v>22.622577330012231</c:v>
                </c:pt>
                <c:pt idx="8">
                  <c:v>19.985852692519167</c:v>
                </c:pt>
                <c:pt idx="9">
                  <c:v>16.174640945817352</c:v>
                </c:pt>
                <c:pt idx="10">
                  <c:v>72.210011177714932</c:v>
                </c:pt>
                <c:pt idx="11">
                  <c:v>48.140007451809957</c:v>
                </c:pt>
                <c:pt idx="12">
                  <c:v>36.105005588857466</c:v>
                </c:pt>
                <c:pt idx="13">
                  <c:v>28.884004471085969</c:v>
                </c:pt>
                <c:pt idx="14">
                  <c:v>24.070003725904979</c:v>
                </c:pt>
                <c:pt idx="15">
                  <c:v>20.631431765061407</c:v>
                </c:pt>
                <c:pt idx="16">
                  <c:v>18.052502794428733</c:v>
                </c:pt>
                <c:pt idx="17">
                  <c:v>16.046669150603318</c:v>
                </c:pt>
                <c:pt idx="18">
                  <c:v>14.442002235542985</c:v>
                </c:pt>
                <c:pt idx="19">
                  <c:v>12.035001862952489</c:v>
                </c:pt>
              </c:numCache>
            </c:numRef>
          </c:xVal>
          <c:yVal>
            <c:numRef>
              <c:f>(TimeValue_2!$P$30:$P$39,TimeValue_2!$P$44:$P$53)</c:f>
              <c:numCache>
                <c:formatCode>0.00</c:formatCode>
                <c:ptCount val="20"/>
                <c:pt idx="0">
                  <c:v>13.085303410030292</c:v>
                </c:pt>
                <c:pt idx="1">
                  <c:v>8.2876120669889914</c:v>
                </c:pt>
                <c:pt idx="2">
                  <c:v>6.0188097555579843</c:v>
                </c:pt>
                <c:pt idx="3">
                  <c:v>4.7098311860347479</c:v>
                </c:pt>
                <c:pt idx="4">
                  <c:v>3.8689723683347372</c:v>
                </c:pt>
                <c:pt idx="5">
                  <c:v>3.2929488409288652</c:v>
                </c:pt>
                <c:pt idx="6">
                  <c:v>2.8825106925939994</c:v>
                </c:pt>
                <c:pt idx="7">
                  <c:v>2.5834450100383459</c:v>
                </c:pt>
                <c:pt idx="8">
                  <c:v>2.3636297063839509</c:v>
                </c:pt>
                <c:pt idx="9">
                  <c:v>2.0876023835317215</c:v>
                </c:pt>
                <c:pt idx="10">
                  <c:v>10</c:v>
                </c:pt>
                <c:pt idx="11">
                  <c:v>6.666666666666667</c:v>
                </c:pt>
                <c:pt idx="12">
                  <c:v>5</c:v>
                </c:pt>
                <c:pt idx="13">
                  <c:v>4</c:v>
                </c:pt>
                <c:pt idx="14">
                  <c:v>3.3333333333333335</c:v>
                </c:pt>
                <c:pt idx="15">
                  <c:v>2.8571428571428572</c:v>
                </c:pt>
                <c:pt idx="16">
                  <c:v>2.5</c:v>
                </c:pt>
                <c:pt idx="17">
                  <c:v>2.2222222222222223</c:v>
                </c:pt>
                <c:pt idx="18">
                  <c:v>2</c:v>
                </c:pt>
                <c:pt idx="19">
                  <c:v>1.6666666666666667</c:v>
                </c:pt>
              </c:numCache>
            </c:numRef>
          </c:yVal>
          <c:smooth val="0"/>
          <c:extLst>
            <c:ext xmlns:c16="http://schemas.microsoft.com/office/drawing/2014/chart" uri="{C3380CC4-5D6E-409C-BE32-E72D297353CC}">
              <c16:uniqueId val="{00000009-E1F4-4781-921A-24658FF2DCCA}"/>
            </c:ext>
          </c:extLst>
        </c:ser>
        <c:dLbls>
          <c:showLegendKey val="0"/>
          <c:showVal val="0"/>
          <c:showCatName val="0"/>
          <c:showSerName val="0"/>
          <c:showPercent val="0"/>
          <c:showBubbleSize val="0"/>
        </c:dLbls>
        <c:axId val="186194560"/>
        <c:axId val="186208640"/>
      </c:scatterChart>
      <c:valAx>
        <c:axId val="186194560"/>
        <c:scaling>
          <c:orientation val="minMax"/>
        </c:scaling>
        <c:delete val="0"/>
        <c:axPos val="b"/>
        <c:numFmt formatCode="0.00" sourceLinked="1"/>
        <c:majorTickMark val="out"/>
        <c:minorTickMark val="none"/>
        <c:tickLblPos val="nextTo"/>
        <c:crossAx val="186208640"/>
        <c:crosses val="autoZero"/>
        <c:crossBetween val="midCat"/>
      </c:valAx>
      <c:valAx>
        <c:axId val="186208640"/>
        <c:scaling>
          <c:orientation val="minMax"/>
        </c:scaling>
        <c:delete val="0"/>
        <c:axPos val="l"/>
        <c:majorGridlines/>
        <c:numFmt formatCode="0.00" sourceLinked="1"/>
        <c:majorTickMark val="out"/>
        <c:minorTickMark val="none"/>
        <c:tickLblPos val="nextTo"/>
        <c:crossAx val="186194560"/>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manualLayout>
          <c:layoutTarget val="inner"/>
          <c:xMode val="edge"/>
          <c:yMode val="edge"/>
          <c:x val="7.1988407699037624E-2"/>
          <c:y val="0.20406277340332457"/>
          <c:w val="0.65252956498308423"/>
          <c:h val="0.68921660834062404"/>
        </c:manualLayout>
      </c:layout>
      <c:scatterChart>
        <c:scatterStyle val="smoothMarker"/>
        <c:varyColors val="0"/>
        <c:ser>
          <c:idx val="0"/>
          <c:order val="0"/>
          <c:tx>
            <c:strRef>
              <c:f>OptionSwapData!$H$16</c:f>
              <c:strCache>
                <c:ptCount val="1"/>
                <c:pt idx="0">
                  <c:v>t2(days)</c:v>
                </c:pt>
              </c:strCache>
            </c:strRef>
          </c:tx>
          <c:spPr>
            <a:ln>
              <a:noFill/>
            </a:ln>
          </c:spPr>
          <c:trendline>
            <c:trendlineType val="poly"/>
            <c:order val="2"/>
            <c:dispRSqr val="1"/>
            <c:dispEq val="1"/>
            <c:trendlineLbl>
              <c:numFmt formatCode="General" sourceLinked="0"/>
            </c:trendlineLbl>
          </c:trendline>
          <c:xVal>
            <c:numRef>
              <c:f>OptionSwapData!$M$17:$M$800</c:f>
              <c:numCache>
                <c:formatCode>0%</c:formatCode>
                <c:ptCount val="182"/>
                <c:pt idx="0">
                  <c:v>0.01</c:v>
                </c:pt>
                <c:pt idx="1">
                  <c:v>0.02</c:v>
                </c:pt>
                <c:pt idx="2">
                  <c:v>0.03</c:v>
                </c:pt>
                <c:pt idx="3">
                  <c:v>0.04</c:v>
                </c:pt>
                <c:pt idx="4">
                  <c:v>0.05</c:v>
                </c:pt>
                <c:pt idx="5">
                  <c:v>0.06</c:v>
                </c:pt>
                <c:pt idx="6">
                  <c:v>7.0000000000000007E-2</c:v>
                </c:pt>
                <c:pt idx="7">
                  <c:v>0.08</c:v>
                </c:pt>
                <c:pt idx="8">
                  <c:v>0.09</c:v>
                </c:pt>
                <c:pt idx="9">
                  <c:v>0.1</c:v>
                </c:pt>
                <c:pt idx="10">
                  <c:v>0.15</c:v>
                </c:pt>
                <c:pt idx="11">
                  <c:v>0.2</c:v>
                </c:pt>
                <c:pt idx="12">
                  <c:v>0.25</c:v>
                </c:pt>
                <c:pt idx="13">
                  <c:v>0.01</c:v>
                </c:pt>
                <c:pt idx="14">
                  <c:v>0.02</c:v>
                </c:pt>
                <c:pt idx="15">
                  <c:v>0.03</c:v>
                </c:pt>
                <c:pt idx="16">
                  <c:v>0.04</c:v>
                </c:pt>
                <c:pt idx="17">
                  <c:v>0.05</c:v>
                </c:pt>
                <c:pt idx="18">
                  <c:v>0.06</c:v>
                </c:pt>
                <c:pt idx="19">
                  <c:v>7.0000000000000007E-2</c:v>
                </c:pt>
                <c:pt idx="20">
                  <c:v>0.08</c:v>
                </c:pt>
                <c:pt idx="21">
                  <c:v>0.09</c:v>
                </c:pt>
                <c:pt idx="22">
                  <c:v>0.1</c:v>
                </c:pt>
                <c:pt idx="23">
                  <c:v>0.15</c:v>
                </c:pt>
                <c:pt idx="24">
                  <c:v>0.2</c:v>
                </c:pt>
                <c:pt idx="25">
                  <c:v>0.25</c:v>
                </c:pt>
                <c:pt idx="26">
                  <c:v>0.01</c:v>
                </c:pt>
                <c:pt idx="27">
                  <c:v>0.02</c:v>
                </c:pt>
                <c:pt idx="28">
                  <c:v>0.03</c:v>
                </c:pt>
                <c:pt idx="29">
                  <c:v>0.04</c:v>
                </c:pt>
                <c:pt idx="30">
                  <c:v>0.05</c:v>
                </c:pt>
                <c:pt idx="31">
                  <c:v>0.06</c:v>
                </c:pt>
                <c:pt idx="32">
                  <c:v>7.0000000000000007E-2</c:v>
                </c:pt>
                <c:pt idx="33">
                  <c:v>0.08</c:v>
                </c:pt>
                <c:pt idx="34">
                  <c:v>0.09</c:v>
                </c:pt>
                <c:pt idx="35">
                  <c:v>0.1</c:v>
                </c:pt>
                <c:pt idx="36">
                  <c:v>0.15</c:v>
                </c:pt>
                <c:pt idx="37">
                  <c:v>0.2</c:v>
                </c:pt>
                <c:pt idx="38">
                  <c:v>0.25</c:v>
                </c:pt>
                <c:pt idx="39">
                  <c:v>0.01</c:v>
                </c:pt>
                <c:pt idx="40">
                  <c:v>0.02</c:v>
                </c:pt>
                <c:pt idx="41">
                  <c:v>0.03</c:v>
                </c:pt>
                <c:pt idx="42">
                  <c:v>0.04</c:v>
                </c:pt>
                <c:pt idx="43">
                  <c:v>0.05</c:v>
                </c:pt>
                <c:pt idx="44">
                  <c:v>0.06</c:v>
                </c:pt>
                <c:pt idx="45">
                  <c:v>7.0000000000000007E-2</c:v>
                </c:pt>
                <c:pt idx="46">
                  <c:v>0.08</c:v>
                </c:pt>
                <c:pt idx="47">
                  <c:v>0.09</c:v>
                </c:pt>
                <c:pt idx="48">
                  <c:v>0.1</c:v>
                </c:pt>
                <c:pt idx="49">
                  <c:v>0.15</c:v>
                </c:pt>
                <c:pt idx="50">
                  <c:v>0.2</c:v>
                </c:pt>
                <c:pt idx="51">
                  <c:v>0.25</c:v>
                </c:pt>
                <c:pt idx="52">
                  <c:v>0.01</c:v>
                </c:pt>
                <c:pt idx="53">
                  <c:v>0.02</c:v>
                </c:pt>
                <c:pt idx="54">
                  <c:v>0.03</c:v>
                </c:pt>
                <c:pt idx="55">
                  <c:v>0.04</c:v>
                </c:pt>
                <c:pt idx="56">
                  <c:v>0.05</c:v>
                </c:pt>
                <c:pt idx="57">
                  <c:v>0.06</c:v>
                </c:pt>
                <c:pt idx="58">
                  <c:v>7.0000000000000007E-2</c:v>
                </c:pt>
                <c:pt idx="59">
                  <c:v>0.08</c:v>
                </c:pt>
                <c:pt idx="60">
                  <c:v>0.09</c:v>
                </c:pt>
                <c:pt idx="61">
                  <c:v>0.1</c:v>
                </c:pt>
                <c:pt idx="62">
                  <c:v>0.15</c:v>
                </c:pt>
                <c:pt idx="63">
                  <c:v>0.2</c:v>
                </c:pt>
                <c:pt idx="64">
                  <c:v>0.25</c:v>
                </c:pt>
                <c:pt idx="65">
                  <c:v>0.01</c:v>
                </c:pt>
                <c:pt idx="66">
                  <c:v>0.02</c:v>
                </c:pt>
                <c:pt idx="67">
                  <c:v>0.03</c:v>
                </c:pt>
                <c:pt idx="68">
                  <c:v>0.04</c:v>
                </c:pt>
                <c:pt idx="69">
                  <c:v>0.05</c:v>
                </c:pt>
                <c:pt idx="70">
                  <c:v>0.06</c:v>
                </c:pt>
                <c:pt idx="71">
                  <c:v>7.0000000000000007E-2</c:v>
                </c:pt>
                <c:pt idx="72">
                  <c:v>0.08</c:v>
                </c:pt>
                <c:pt idx="73">
                  <c:v>0.09</c:v>
                </c:pt>
                <c:pt idx="74">
                  <c:v>0.1</c:v>
                </c:pt>
                <c:pt idx="75">
                  <c:v>0.15</c:v>
                </c:pt>
                <c:pt idx="76">
                  <c:v>0.2</c:v>
                </c:pt>
                <c:pt idx="77">
                  <c:v>0.25</c:v>
                </c:pt>
                <c:pt idx="78">
                  <c:v>0.04</c:v>
                </c:pt>
                <c:pt idx="79">
                  <c:v>0.06</c:v>
                </c:pt>
                <c:pt idx="80">
                  <c:v>0.08</c:v>
                </c:pt>
                <c:pt idx="81">
                  <c:v>0.10000000000000014</c:v>
                </c:pt>
              </c:numCache>
            </c:numRef>
          </c:xVal>
          <c:yVal>
            <c:numRef>
              <c:f>OptionSwapData!$H$17:$H$800</c:f>
              <c:numCache>
                <c:formatCode>General</c:formatCode>
                <c:ptCount val="182"/>
                <c:pt idx="0">
                  <c:v>12.3</c:v>
                </c:pt>
                <c:pt idx="1">
                  <c:v>18.100000000000001</c:v>
                </c:pt>
                <c:pt idx="2">
                  <c:v>24.4</c:v>
                </c:pt>
                <c:pt idx="3">
                  <c:v>31</c:v>
                </c:pt>
                <c:pt idx="4">
                  <c:v>38</c:v>
                </c:pt>
                <c:pt idx="5">
                  <c:v>45.3</c:v>
                </c:pt>
                <c:pt idx="6">
                  <c:v>53</c:v>
                </c:pt>
                <c:pt idx="7">
                  <c:v>60.9</c:v>
                </c:pt>
                <c:pt idx="8">
                  <c:v>69.099999999999994</c:v>
                </c:pt>
                <c:pt idx="9">
                  <c:v>77.5</c:v>
                </c:pt>
                <c:pt idx="10">
                  <c:v>122.6</c:v>
                </c:pt>
                <c:pt idx="11">
                  <c:v>171.7</c:v>
                </c:pt>
                <c:pt idx="12">
                  <c:v>223.7</c:v>
                </c:pt>
                <c:pt idx="13">
                  <c:v>13.7</c:v>
                </c:pt>
                <c:pt idx="14">
                  <c:v>20.8</c:v>
                </c:pt>
                <c:pt idx="15">
                  <c:v>28.4</c:v>
                </c:pt>
                <c:pt idx="16">
                  <c:v>36.4</c:v>
                </c:pt>
                <c:pt idx="17">
                  <c:v>44.8</c:v>
                </c:pt>
                <c:pt idx="18">
                  <c:v>53.6</c:v>
                </c:pt>
                <c:pt idx="19">
                  <c:v>62.7</c:v>
                </c:pt>
                <c:pt idx="20">
                  <c:v>72.099999999999994</c:v>
                </c:pt>
                <c:pt idx="21">
                  <c:v>81.8</c:v>
                </c:pt>
                <c:pt idx="22">
                  <c:v>91.7</c:v>
                </c:pt>
                <c:pt idx="23">
                  <c:v>144.5</c:v>
                </c:pt>
                <c:pt idx="24">
                  <c:v>201.5</c:v>
                </c:pt>
                <c:pt idx="25">
                  <c:v>261.5</c:v>
                </c:pt>
                <c:pt idx="26">
                  <c:v>15.4</c:v>
                </c:pt>
                <c:pt idx="27">
                  <c:v>24.2</c:v>
                </c:pt>
                <c:pt idx="28">
                  <c:v>33.4</c:v>
                </c:pt>
                <c:pt idx="29">
                  <c:v>43.1</c:v>
                </c:pt>
                <c:pt idx="30">
                  <c:v>53.2</c:v>
                </c:pt>
                <c:pt idx="31">
                  <c:v>63.6</c:v>
                </c:pt>
                <c:pt idx="32">
                  <c:v>74.400000000000006</c:v>
                </c:pt>
                <c:pt idx="33">
                  <c:v>85.5</c:v>
                </c:pt>
                <c:pt idx="34">
                  <c:v>96.8</c:v>
                </c:pt>
                <c:pt idx="35">
                  <c:v>108.4</c:v>
                </c:pt>
                <c:pt idx="36">
                  <c:v>169.8</c:v>
                </c:pt>
                <c:pt idx="37">
                  <c:v>235.4</c:v>
                </c:pt>
                <c:pt idx="38">
                  <c:v>303.89999999999998</c:v>
                </c:pt>
                <c:pt idx="39">
                  <c:v>17.8</c:v>
                </c:pt>
                <c:pt idx="40">
                  <c:v>28.5</c:v>
                </c:pt>
                <c:pt idx="41">
                  <c:v>39.700000000000003</c:v>
                </c:pt>
                <c:pt idx="42">
                  <c:v>51.2</c:v>
                </c:pt>
                <c:pt idx="43">
                  <c:v>63.1</c:v>
                </c:pt>
                <c:pt idx="44">
                  <c:v>75.400000000000006</c:v>
                </c:pt>
                <c:pt idx="45">
                  <c:v>88</c:v>
                </c:pt>
                <c:pt idx="46">
                  <c:v>101</c:v>
                </c:pt>
                <c:pt idx="47">
                  <c:v>114.2</c:v>
                </c:pt>
                <c:pt idx="48">
                  <c:v>127.6</c:v>
                </c:pt>
                <c:pt idx="49">
                  <c:v>198.2</c:v>
                </c:pt>
                <c:pt idx="50">
                  <c:v>272.89999999999998</c:v>
                </c:pt>
                <c:pt idx="51">
                  <c:v>350.5</c:v>
                </c:pt>
                <c:pt idx="52">
                  <c:v>20.8</c:v>
                </c:pt>
                <c:pt idx="53">
                  <c:v>33.9</c:v>
                </c:pt>
                <c:pt idx="54">
                  <c:v>47.1</c:v>
                </c:pt>
                <c:pt idx="55">
                  <c:v>60.7</c:v>
                </c:pt>
                <c:pt idx="56">
                  <c:v>74.7</c:v>
                </c:pt>
                <c:pt idx="57">
                  <c:v>89</c:v>
                </c:pt>
                <c:pt idx="58">
                  <c:v>103.6</c:v>
                </c:pt>
                <c:pt idx="59">
                  <c:v>118.5</c:v>
                </c:pt>
                <c:pt idx="60">
                  <c:v>133.69999999999999</c:v>
                </c:pt>
                <c:pt idx="61">
                  <c:v>149.1</c:v>
                </c:pt>
                <c:pt idx="62">
                  <c:v>229.4</c:v>
                </c:pt>
                <c:pt idx="63">
                  <c:v>313.60000000000002</c:v>
                </c:pt>
                <c:pt idx="64">
                  <c:v>400.4</c:v>
                </c:pt>
                <c:pt idx="65">
                  <c:v>24.6</c:v>
                </c:pt>
                <c:pt idx="66">
                  <c:v>40.1</c:v>
                </c:pt>
                <c:pt idx="67">
                  <c:v>55.7</c:v>
                </c:pt>
                <c:pt idx="68">
                  <c:v>71.5</c:v>
                </c:pt>
                <c:pt idx="69">
                  <c:v>87.7</c:v>
                </c:pt>
                <c:pt idx="70">
                  <c:v>104.1</c:v>
                </c:pt>
                <c:pt idx="71">
                  <c:v>120.8</c:v>
                </c:pt>
                <c:pt idx="72">
                  <c:v>137.80000000000001</c:v>
                </c:pt>
                <c:pt idx="73">
                  <c:v>155</c:v>
                </c:pt>
                <c:pt idx="74">
                  <c:v>172.5</c:v>
                </c:pt>
                <c:pt idx="75">
                  <c:v>262.7</c:v>
                </c:pt>
                <c:pt idx="76">
                  <c:v>356.6</c:v>
                </c:pt>
                <c:pt idx="77">
                  <c:v>452.8</c:v>
                </c:pt>
                <c:pt idx="78">
                  <c:v>43.1</c:v>
                </c:pt>
                <c:pt idx="79">
                  <c:v>75.400000000000006</c:v>
                </c:pt>
                <c:pt idx="80">
                  <c:v>118.5</c:v>
                </c:pt>
                <c:pt idx="81">
                  <c:v>172.5</c:v>
                </c:pt>
              </c:numCache>
            </c:numRef>
          </c:yVal>
          <c:smooth val="1"/>
          <c:extLst>
            <c:ext xmlns:c16="http://schemas.microsoft.com/office/drawing/2014/chart" uri="{C3380CC4-5D6E-409C-BE32-E72D297353CC}">
              <c16:uniqueId val="{00000000-9BD9-4080-923D-FA859C1B96CB}"/>
            </c:ext>
          </c:extLst>
        </c:ser>
        <c:dLbls>
          <c:showLegendKey val="0"/>
          <c:showVal val="0"/>
          <c:showCatName val="0"/>
          <c:showSerName val="0"/>
          <c:showPercent val="0"/>
          <c:showBubbleSize val="0"/>
        </c:dLbls>
        <c:axId val="93883008"/>
        <c:axId val="184942976"/>
      </c:scatterChart>
      <c:valAx>
        <c:axId val="93883008"/>
        <c:scaling>
          <c:orientation val="minMax"/>
        </c:scaling>
        <c:delete val="0"/>
        <c:axPos val="b"/>
        <c:numFmt formatCode="0%" sourceLinked="1"/>
        <c:majorTickMark val="out"/>
        <c:minorTickMark val="none"/>
        <c:tickLblPos val="nextTo"/>
        <c:crossAx val="184942976"/>
        <c:crosses val="autoZero"/>
        <c:crossBetween val="midCat"/>
      </c:valAx>
      <c:valAx>
        <c:axId val="184942976"/>
        <c:scaling>
          <c:orientation val="minMax"/>
        </c:scaling>
        <c:delete val="0"/>
        <c:axPos val="l"/>
        <c:majorGridlines/>
        <c:numFmt formatCode="General" sourceLinked="1"/>
        <c:majorTickMark val="out"/>
        <c:minorTickMark val="none"/>
        <c:tickLblPos val="nextTo"/>
        <c:crossAx val="9388300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933573928258967"/>
          <c:y val="5.1400554097404488E-2"/>
          <c:w val="0.77032917760279973"/>
          <c:h val="0.8326195683872849"/>
        </c:manualLayout>
      </c:layout>
      <c:scatterChart>
        <c:scatterStyle val="smoothMarker"/>
        <c:varyColors val="0"/>
        <c:ser>
          <c:idx val="0"/>
          <c:order val="0"/>
          <c:tx>
            <c:strRef>
              <c:f>TaxBracket!$B$12</c:f>
              <c:strCache>
                <c:ptCount val="1"/>
                <c:pt idx="0">
                  <c:v>Married Filling Jointly</c:v>
                </c:pt>
              </c:strCache>
            </c:strRef>
          </c:tx>
          <c:xVal>
            <c:numRef>
              <c:f>TaxBracket!$A$13:$A$18</c:f>
              <c:numCache>
                <c:formatCode>0%</c:formatCode>
                <c:ptCount val="6"/>
                <c:pt idx="0">
                  <c:v>0.1</c:v>
                </c:pt>
                <c:pt idx="1">
                  <c:v>0.15</c:v>
                </c:pt>
                <c:pt idx="2">
                  <c:v>0.25</c:v>
                </c:pt>
                <c:pt idx="3">
                  <c:v>0.28000000000000003</c:v>
                </c:pt>
                <c:pt idx="4">
                  <c:v>0.33</c:v>
                </c:pt>
                <c:pt idx="5">
                  <c:v>0.35</c:v>
                </c:pt>
              </c:numCache>
            </c:numRef>
          </c:xVal>
          <c:yVal>
            <c:numRef>
              <c:f>TaxBracket!$B$13:$B$18</c:f>
              <c:numCache>
                <c:formatCode>"$"#,##0</c:formatCode>
                <c:ptCount val="6"/>
                <c:pt idx="0">
                  <c:v>18150</c:v>
                </c:pt>
                <c:pt idx="1">
                  <c:v>73800</c:v>
                </c:pt>
                <c:pt idx="2">
                  <c:v>148850</c:v>
                </c:pt>
                <c:pt idx="3">
                  <c:v>226850</c:v>
                </c:pt>
                <c:pt idx="4">
                  <c:v>405100</c:v>
                </c:pt>
                <c:pt idx="5">
                  <c:v>457600</c:v>
                </c:pt>
              </c:numCache>
            </c:numRef>
          </c:yVal>
          <c:smooth val="1"/>
          <c:extLst>
            <c:ext xmlns:c16="http://schemas.microsoft.com/office/drawing/2014/chart" uri="{C3380CC4-5D6E-409C-BE32-E72D297353CC}">
              <c16:uniqueId val="{00000000-B512-496F-AE7E-0EAB693189EC}"/>
            </c:ext>
          </c:extLst>
        </c:ser>
        <c:ser>
          <c:idx val="1"/>
          <c:order val="1"/>
          <c:tx>
            <c:strRef>
              <c:f>TaxBracket!$C$12</c:f>
              <c:strCache>
                <c:ptCount val="1"/>
                <c:pt idx="0">
                  <c:v>Single</c:v>
                </c:pt>
              </c:strCache>
            </c:strRef>
          </c:tx>
          <c:xVal>
            <c:numRef>
              <c:f>TaxBracket!$A$13:$A$18</c:f>
              <c:numCache>
                <c:formatCode>0%</c:formatCode>
                <c:ptCount val="6"/>
                <c:pt idx="0">
                  <c:v>0.1</c:v>
                </c:pt>
                <c:pt idx="1">
                  <c:v>0.15</c:v>
                </c:pt>
                <c:pt idx="2">
                  <c:v>0.25</c:v>
                </c:pt>
                <c:pt idx="3">
                  <c:v>0.28000000000000003</c:v>
                </c:pt>
                <c:pt idx="4">
                  <c:v>0.33</c:v>
                </c:pt>
                <c:pt idx="5">
                  <c:v>0.35</c:v>
                </c:pt>
              </c:numCache>
            </c:numRef>
          </c:xVal>
          <c:yVal>
            <c:numRef>
              <c:f>TaxBracket!$C$13:$C$18</c:f>
              <c:numCache>
                <c:formatCode>"$"#,##0</c:formatCode>
                <c:ptCount val="6"/>
                <c:pt idx="0">
                  <c:v>9075</c:v>
                </c:pt>
                <c:pt idx="1">
                  <c:v>36900</c:v>
                </c:pt>
                <c:pt idx="2">
                  <c:v>89350</c:v>
                </c:pt>
                <c:pt idx="3">
                  <c:v>186350</c:v>
                </c:pt>
                <c:pt idx="4">
                  <c:v>405100</c:v>
                </c:pt>
                <c:pt idx="5">
                  <c:v>406750</c:v>
                </c:pt>
              </c:numCache>
            </c:numRef>
          </c:yVal>
          <c:smooth val="1"/>
          <c:extLst>
            <c:ext xmlns:c16="http://schemas.microsoft.com/office/drawing/2014/chart" uri="{C3380CC4-5D6E-409C-BE32-E72D297353CC}">
              <c16:uniqueId val="{00000001-B512-496F-AE7E-0EAB693189EC}"/>
            </c:ext>
          </c:extLst>
        </c:ser>
        <c:ser>
          <c:idx val="2"/>
          <c:order val="2"/>
          <c:tx>
            <c:strRef>
              <c:f>TaxBracket!$D$12</c:f>
              <c:strCache>
                <c:ptCount val="1"/>
                <c:pt idx="0">
                  <c:v>Head of Household</c:v>
                </c:pt>
              </c:strCache>
            </c:strRef>
          </c:tx>
          <c:xVal>
            <c:numRef>
              <c:f>TaxBracket!$A$13:$A$18</c:f>
              <c:numCache>
                <c:formatCode>0%</c:formatCode>
                <c:ptCount val="6"/>
                <c:pt idx="0">
                  <c:v>0.1</c:v>
                </c:pt>
                <c:pt idx="1">
                  <c:v>0.15</c:v>
                </c:pt>
                <c:pt idx="2">
                  <c:v>0.25</c:v>
                </c:pt>
                <c:pt idx="3">
                  <c:v>0.28000000000000003</c:v>
                </c:pt>
                <c:pt idx="4">
                  <c:v>0.33</c:v>
                </c:pt>
                <c:pt idx="5">
                  <c:v>0.35</c:v>
                </c:pt>
              </c:numCache>
            </c:numRef>
          </c:xVal>
          <c:yVal>
            <c:numRef>
              <c:f>TaxBracket!$D$13:$D$18</c:f>
              <c:numCache>
                <c:formatCode>"$"#,##0</c:formatCode>
                <c:ptCount val="6"/>
                <c:pt idx="0">
                  <c:v>12950</c:v>
                </c:pt>
                <c:pt idx="1">
                  <c:v>49400</c:v>
                </c:pt>
                <c:pt idx="2">
                  <c:v>127550</c:v>
                </c:pt>
                <c:pt idx="3">
                  <c:v>206600</c:v>
                </c:pt>
                <c:pt idx="4">
                  <c:v>405100</c:v>
                </c:pt>
                <c:pt idx="5">
                  <c:v>432200</c:v>
                </c:pt>
              </c:numCache>
            </c:numRef>
          </c:yVal>
          <c:smooth val="1"/>
          <c:extLst>
            <c:ext xmlns:c16="http://schemas.microsoft.com/office/drawing/2014/chart" uri="{C3380CC4-5D6E-409C-BE32-E72D297353CC}">
              <c16:uniqueId val="{00000002-B512-496F-AE7E-0EAB693189EC}"/>
            </c:ext>
          </c:extLst>
        </c:ser>
        <c:dLbls>
          <c:showLegendKey val="0"/>
          <c:showVal val="0"/>
          <c:showCatName val="0"/>
          <c:showSerName val="0"/>
          <c:showPercent val="0"/>
          <c:showBubbleSize val="0"/>
        </c:dLbls>
        <c:axId val="186247424"/>
        <c:axId val="186249216"/>
      </c:scatterChart>
      <c:valAx>
        <c:axId val="186247424"/>
        <c:scaling>
          <c:orientation val="minMax"/>
        </c:scaling>
        <c:delete val="0"/>
        <c:axPos val="b"/>
        <c:numFmt formatCode="0%" sourceLinked="1"/>
        <c:majorTickMark val="out"/>
        <c:minorTickMark val="none"/>
        <c:tickLblPos val="nextTo"/>
        <c:crossAx val="186249216"/>
        <c:crosses val="autoZero"/>
        <c:crossBetween val="midCat"/>
      </c:valAx>
      <c:valAx>
        <c:axId val="186249216"/>
        <c:scaling>
          <c:orientation val="minMax"/>
        </c:scaling>
        <c:delete val="0"/>
        <c:axPos val="l"/>
        <c:majorGridlines/>
        <c:numFmt formatCode="&quot;$&quot;#,##0" sourceLinked="1"/>
        <c:majorTickMark val="out"/>
        <c:minorTickMark val="none"/>
        <c:tickLblPos val="nextTo"/>
        <c:crossAx val="186247424"/>
        <c:crosses val="autoZero"/>
        <c:crossBetween val="midCat"/>
      </c:valAx>
    </c:plotArea>
    <c:legend>
      <c:legendPos val="r"/>
      <c:layout>
        <c:manualLayout>
          <c:xMode val="edge"/>
          <c:yMode val="edge"/>
          <c:x val="0.15756758530183729"/>
          <c:y val="0.12905365995917178"/>
          <c:w val="0.32576574803149605"/>
          <c:h val="0.25115157480314959"/>
        </c:manualLayout>
      </c:layout>
      <c:overlay val="0"/>
    </c:legend>
    <c:plotVisOnly val="1"/>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Income Tax Rate vs Taxable Income</a:t>
            </a:r>
          </a:p>
        </c:rich>
      </c:tx>
      <c:overlay val="0"/>
    </c:title>
    <c:autoTitleDeleted val="0"/>
    <c:plotArea>
      <c:layout/>
      <c:scatterChart>
        <c:scatterStyle val="smoothMarker"/>
        <c:varyColors val="0"/>
        <c:ser>
          <c:idx val="0"/>
          <c:order val="0"/>
          <c:tx>
            <c:strRef>
              <c:f>TaxRate!$D$3</c:f>
              <c:strCache>
                <c:ptCount val="1"/>
                <c:pt idx="0">
                  <c:v>Income Tax Rate</c:v>
                </c:pt>
              </c:strCache>
            </c:strRef>
          </c:tx>
          <c:xVal>
            <c:numRef>
              <c:f>TaxRate!$C$4:$C$44</c:f>
              <c:numCache>
                <c:formatCode>"$"#,##0.0</c:formatCode>
                <c:ptCount val="41"/>
                <c:pt idx="0">
                  <c:v>10000</c:v>
                </c:pt>
                <c:pt idx="1">
                  <c:v>11000</c:v>
                </c:pt>
                <c:pt idx="2">
                  <c:v>15000</c:v>
                </c:pt>
                <c:pt idx="3">
                  <c:v>20000</c:v>
                </c:pt>
                <c:pt idx="4">
                  <c:v>25000</c:v>
                </c:pt>
                <c:pt idx="5">
                  <c:v>30000</c:v>
                </c:pt>
                <c:pt idx="6">
                  <c:v>35000</c:v>
                </c:pt>
                <c:pt idx="7">
                  <c:v>40000</c:v>
                </c:pt>
                <c:pt idx="8">
                  <c:v>45000</c:v>
                </c:pt>
                <c:pt idx="9">
                  <c:v>50000</c:v>
                </c:pt>
                <c:pt idx="10">
                  <c:v>55000</c:v>
                </c:pt>
                <c:pt idx="11">
                  <c:v>60000</c:v>
                </c:pt>
                <c:pt idx="12">
                  <c:v>70000</c:v>
                </c:pt>
                <c:pt idx="13">
                  <c:v>80000</c:v>
                </c:pt>
                <c:pt idx="14">
                  <c:v>90000</c:v>
                </c:pt>
                <c:pt idx="15">
                  <c:v>100000</c:v>
                </c:pt>
                <c:pt idx="16">
                  <c:v>110000</c:v>
                </c:pt>
                <c:pt idx="17">
                  <c:v>120000</c:v>
                </c:pt>
                <c:pt idx="18">
                  <c:v>130000</c:v>
                </c:pt>
                <c:pt idx="19">
                  <c:v>140000</c:v>
                </c:pt>
                <c:pt idx="20">
                  <c:v>150000</c:v>
                </c:pt>
                <c:pt idx="21">
                  <c:v>160000</c:v>
                </c:pt>
                <c:pt idx="22">
                  <c:v>170000</c:v>
                </c:pt>
                <c:pt idx="23">
                  <c:v>180000</c:v>
                </c:pt>
                <c:pt idx="24">
                  <c:v>190000</c:v>
                </c:pt>
                <c:pt idx="25">
                  <c:v>200000</c:v>
                </c:pt>
                <c:pt idx="26">
                  <c:v>210000</c:v>
                </c:pt>
                <c:pt idx="27">
                  <c:v>220000</c:v>
                </c:pt>
                <c:pt idx="28">
                  <c:v>230000</c:v>
                </c:pt>
                <c:pt idx="29">
                  <c:v>240000</c:v>
                </c:pt>
                <c:pt idx="30">
                  <c:v>250000</c:v>
                </c:pt>
                <c:pt idx="31">
                  <c:v>300000</c:v>
                </c:pt>
                <c:pt idx="32">
                  <c:v>350000</c:v>
                </c:pt>
                <c:pt idx="33">
                  <c:v>400000</c:v>
                </c:pt>
                <c:pt idx="34">
                  <c:v>450000</c:v>
                </c:pt>
                <c:pt idx="35">
                  <c:v>500000</c:v>
                </c:pt>
                <c:pt idx="36">
                  <c:v>600000</c:v>
                </c:pt>
                <c:pt idx="37">
                  <c:v>700000</c:v>
                </c:pt>
                <c:pt idx="38">
                  <c:v>800000</c:v>
                </c:pt>
                <c:pt idx="39">
                  <c:v>900000</c:v>
                </c:pt>
                <c:pt idx="40">
                  <c:v>1000000</c:v>
                </c:pt>
              </c:numCache>
            </c:numRef>
          </c:xVal>
          <c:yVal>
            <c:numRef>
              <c:f>TaxRate!$D$4:$D$44</c:f>
              <c:numCache>
                <c:formatCode>0.00%</c:formatCode>
                <c:ptCount val="41"/>
                <c:pt idx="0">
                  <c:v>0</c:v>
                </c:pt>
                <c:pt idx="1">
                  <c:v>7.7272727272727276E-3</c:v>
                </c:pt>
                <c:pt idx="2">
                  <c:v>3.2333333333333332E-2</c:v>
                </c:pt>
                <c:pt idx="3">
                  <c:v>5.1200000000000002E-2</c:v>
                </c:pt>
                <c:pt idx="4">
                  <c:v>7.0959999999999995E-2</c:v>
                </c:pt>
                <c:pt idx="5">
                  <c:v>8.4133333333333338E-2</c:v>
                </c:pt>
                <c:pt idx="6">
                  <c:v>9.3542857142857136E-2</c:v>
                </c:pt>
                <c:pt idx="7">
                  <c:v>0.10059999999999999</c:v>
                </c:pt>
                <c:pt idx="8">
                  <c:v>0.10608888888888889</c:v>
                </c:pt>
                <c:pt idx="9">
                  <c:v>0.11638</c:v>
                </c:pt>
                <c:pt idx="10">
                  <c:v>0.12852727272727274</c:v>
                </c:pt>
                <c:pt idx="11">
                  <c:v>0.13865</c:v>
                </c:pt>
                <c:pt idx="12">
                  <c:v>0.15455714285714287</c:v>
                </c:pt>
                <c:pt idx="13">
                  <c:v>0.16648750000000001</c:v>
                </c:pt>
                <c:pt idx="14">
                  <c:v>0.17576666666666665</c:v>
                </c:pt>
                <c:pt idx="15">
                  <c:v>0.18334</c:v>
                </c:pt>
                <c:pt idx="16">
                  <c:v>0.19212727272727273</c:v>
                </c:pt>
                <c:pt idx="17">
                  <c:v>0.19944999999999999</c:v>
                </c:pt>
                <c:pt idx="18">
                  <c:v>0.20564615384615384</c:v>
                </c:pt>
                <c:pt idx="19">
                  <c:v>0.21095714285714287</c:v>
                </c:pt>
                <c:pt idx="20">
                  <c:v>0.21556</c:v>
                </c:pt>
                <c:pt idx="21">
                  <c:v>0.21958749999999999</c:v>
                </c:pt>
                <c:pt idx="22">
                  <c:v>0.22314117647058823</c:v>
                </c:pt>
                <c:pt idx="23">
                  <c:v>0.2263</c:v>
                </c:pt>
                <c:pt idx="24">
                  <c:v>0.22912631578947368</c:v>
                </c:pt>
                <c:pt idx="25">
                  <c:v>0.232545</c:v>
                </c:pt>
                <c:pt idx="26">
                  <c:v>0.23761428571428572</c:v>
                </c:pt>
                <c:pt idx="27">
                  <c:v>0.24222272727272728</c:v>
                </c:pt>
                <c:pt idx="28">
                  <c:v>0.2464304347826087</c:v>
                </c:pt>
                <c:pt idx="29">
                  <c:v>0.2502875</c:v>
                </c:pt>
                <c:pt idx="30">
                  <c:v>0.25383600000000001</c:v>
                </c:pt>
                <c:pt idx="31">
                  <c:v>0.26967999999999998</c:v>
                </c:pt>
                <c:pt idx="32">
                  <c:v>0.28107142857142858</c:v>
                </c:pt>
                <c:pt idx="33">
                  <c:v>0.28903000000000001</c:v>
                </c:pt>
                <c:pt idx="34">
                  <c:v>0.30009111111111109</c:v>
                </c:pt>
                <c:pt idx="35">
                  <c:v>0.31058200000000002</c:v>
                </c:pt>
                <c:pt idx="36">
                  <c:v>0.32631833333333332</c:v>
                </c:pt>
                <c:pt idx="37">
                  <c:v>0.33755857142857143</c:v>
                </c:pt>
                <c:pt idx="38">
                  <c:v>0.34598875000000001</c:v>
                </c:pt>
                <c:pt idx="39">
                  <c:v>0.35254555555555556</c:v>
                </c:pt>
                <c:pt idx="40">
                  <c:v>0.35779100000000003</c:v>
                </c:pt>
              </c:numCache>
            </c:numRef>
          </c:yVal>
          <c:smooth val="1"/>
          <c:extLst>
            <c:ext xmlns:c16="http://schemas.microsoft.com/office/drawing/2014/chart" uri="{C3380CC4-5D6E-409C-BE32-E72D297353CC}">
              <c16:uniqueId val="{00000000-3CC7-4607-90F7-E2720B5FACD8}"/>
            </c:ext>
          </c:extLst>
        </c:ser>
        <c:ser>
          <c:idx val="1"/>
          <c:order val="1"/>
          <c:tx>
            <c:strRef>
              <c:f>TaxRate!$F$3</c:f>
              <c:strCache>
                <c:ptCount val="1"/>
                <c:pt idx="0">
                  <c:v>Tax Rate Model</c:v>
                </c:pt>
              </c:strCache>
            </c:strRef>
          </c:tx>
          <c:spPr>
            <a:ln>
              <a:solidFill>
                <a:srgbClr val="FF0000"/>
              </a:solidFill>
              <a:prstDash val="dash"/>
            </a:ln>
          </c:spPr>
          <c:marker>
            <c:symbol val="none"/>
          </c:marker>
          <c:xVal>
            <c:numRef>
              <c:f>TaxRate!$C$4:$C$44</c:f>
              <c:numCache>
                <c:formatCode>"$"#,##0.0</c:formatCode>
                <c:ptCount val="41"/>
                <c:pt idx="0">
                  <c:v>10000</c:v>
                </c:pt>
                <c:pt idx="1">
                  <c:v>11000</c:v>
                </c:pt>
                <c:pt idx="2">
                  <c:v>15000</c:v>
                </c:pt>
                <c:pt idx="3">
                  <c:v>20000</c:v>
                </c:pt>
                <c:pt idx="4">
                  <c:v>25000</c:v>
                </c:pt>
                <c:pt idx="5">
                  <c:v>30000</c:v>
                </c:pt>
                <c:pt idx="6">
                  <c:v>35000</c:v>
                </c:pt>
                <c:pt idx="7">
                  <c:v>40000</c:v>
                </c:pt>
                <c:pt idx="8">
                  <c:v>45000</c:v>
                </c:pt>
                <c:pt idx="9">
                  <c:v>50000</c:v>
                </c:pt>
                <c:pt idx="10">
                  <c:v>55000</c:v>
                </c:pt>
                <c:pt idx="11">
                  <c:v>60000</c:v>
                </c:pt>
                <c:pt idx="12">
                  <c:v>70000</c:v>
                </c:pt>
                <c:pt idx="13">
                  <c:v>80000</c:v>
                </c:pt>
                <c:pt idx="14">
                  <c:v>90000</c:v>
                </c:pt>
                <c:pt idx="15">
                  <c:v>100000</c:v>
                </c:pt>
                <c:pt idx="16">
                  <c:v>110000</c:v>
                </c:pt>
                <c:pt idx="17">
                  <c:v>120000</c:v>
                </c:pt>
                <c:pt idx="18">
                  <c:v>130000</c:v>
                </c:pt>
                <c:pt idx="19">
                  <c:v>140000</c:v>
                </c:pt>
                <c:pt idx="20">
                  <c:v>150000</c:v>
                </c:pt>
                <c:pt idx="21">
                  <c:v>160000</c:v>
                </c:pt>
                <c:pt idx="22">
                  <c:v>170000</c:v>
                </c:pt>
                <c:pt idx="23">
                  <c:v>180000</c:v>
                </c:pt>
                <c:pt idx="24">
                  <c:v>190000</c:v>
                </c:pt>
                <c:pt idx="25">
                  <c:v>200000</c:v>
                </c:pt>
                <c:pt idx="26">
                  <c:v>210000</c:v>
                </c:pt>
                <c:pt idx="27">
                  <c:v>220000</c:v>
                </c:pt>
                <c:pt idx="28">
                  <c:v>230000</c:v>
                </c:pt>
                <c:pt idx="29">
                  <c:v>240000</c:v>
                </c:pt>
                <c:pt idx="30">
                  <c:v>250000</c:v>
                </c:pt>
                <c:pt idx="31">
                  <c:v>300000</c:v>
                </c:pt>
                <c:pt idx="32">
                  <c:v>350000</c:v>
                </c:pt>
                <c:pt idx="33">
                  <c:v>400000</c:v>
                </c:pt>
                <c:pt idx="34">
                  <c:v>450000</c:v>
                </c:pt>
                <c:pt idx="35">
                  <c:v>500000</c:v>
                </c:pt>
                <c:pt idx="36">
                  <c:v>600000</c:v>
                </c:pt>
                <c:pt idx="37">
                  <c:v>700000</c:v>
                </c:pt>
                <c:pt idx="38">
                  <c:v>800000</c:v>
                </c:pt>
                <c:pt idx="39">
                  <c:v>900000</c:v>
                </c:pt>
                <c:pt idx="40">
                  <c:v>1000000</c:v>
                </c:pt>
              </c:numCache>
            </c:numRef>
          </c:xVal>
          <c:yVal>
            <c:numRef>
              <c:f>TaxRate!$F$4:$F$44</c:f>
              <c:numCache>
                <c:formatCode>0.00%</c:formatCode>
                <c:ptCount val="41"/>
                <c:pt idx="0">
                  <c:v>0</c:v>
                </c:pt>
                <c:pt idx="1">
                  <c:v>7.7809766950768383E-3</c:v>
                </c:pt>
                <c:pt idx="2">
                  <c:v>3.1478304753166181E-2</c:v>
                </c:pt>
                <c:pt idx="3">
                  <c:v>5.2236250349632148E-2</c:v>
                </c:pt>
                <c:pt idx="4">
                  <c:v>6.8402513694589329E-2</c:v>
                </c:pt>
                <c:pt idx="5">
                  <c:v>8.1842171846918776E-2</c:v>
                </c:pt>
                <c:pt idx="6">
                  <c:v>9.3421035601744043E-2</c:v>
                </c:pt>
                <c:pt idx="7">
                  <c:v>0.10362849156185763</c:v>
                </c:pt>
                <c:pt idx="8">
                  <c:v>0.1127738128580611</c:v>
                </c:pt>
                <c:pt idx="9">
                  <c:v>0.1210672810192582</c:v>
                </c:pt>
                <c:pt idx="10">
                  <c:v>0.12865951308771109</c:v>
                </c:pt>
                <c:pt idx="11">
                  <c:v>0.13566269534449746</c:v>
                </c:pt>
                <c:pt idx="12">
                  <c:v>0.14822818246209502</c:v>
                </c:pt>
                <c:pt idx="13">
                  <c:v>0.15926118952896276</c:v>
                </c:pt>
                <c:pt idx="14">
                  <c:v>0.16909116808852689</c:v>
                </c:pt>
                <c:pt idx="15">
                  <c:v>0.17794896816032349</c:v>
                </c:pt>
                <c:pt idx="16">
                  <c:v>0.18600332064531044</c:v>
                </c:pt>
                <c:pt idx="17">
                  <c:v>0.19338167206141579</c:v>
                </c:pt>
                <c:pt idx="18">
                  <c:v>0.20018285665735236</c:v>
                </c:pt>
                <c:pt idx="19">
                  <c:v>0.20648519674561142</c:v>
                </c:pt>
                <c:pt idx="20">
                  <c:v>0.21235189374193811</c:v>
                </c:pt>
                <c:pt idx="21">
                  <c:v>0.21783473803145262</c:v>
                </c:pt>
                <c:pt idx="22">
                  <c:v>0.22297673490092243</c:v>
                </c:pt>
                <c:pt idx="23">
                  <c:v>0.22781400858271902</c:v>
                </c:pt>
                <c:pt idx="24">
                  <c:v>0.23237721197038749</c:v>
                </c:pt>
                <c:pt idx="25">
                  <c:v>0.23669258956107245</c:v>
                </c:pt>
                <c:pt idx="26">
                  <c:v>0.24078279193220395</c:v>
                </c:pt>
                <c:pt idx="27">
                  <c:v>0.24466750882771035</c:v>
                </c:pt>
                <c:pt idx="28">
                  <c:v>0.24836396759547646</c:v>
                </c:pt>
                <c:pt idx="29">
                  <c:v>0.2518873301677117</c:v>
                </c:pt>
                <c:pt idx="30">
                  <c:v>0.25525101255608246</c:v>
                </c:pt>
                <c:pt idx="31">
                  <c:v>0.27005067598148624</c:v>
                </c:pt>
                <c:pt idx="32">
                  <c:v>0.28221550205879958</c:v>
                </c:pt>
                <c:pt idx="33">
                  <c:v>0.29243584033610159</c:v>
                </c:pt>
                <c:pt idx="34">
                  <c:v>0.30116629013119506</c:v>
                </c:pt>
                <c:pt idx="35">
                  <c:v>0.30872196318852274</c:v>
                </c:pt>
                <c:pt idx="36">
                  <c:v>0.3211597298173724</c:v>
                </c:pt>
                <c:pt idx="37">
                  <c:v>0.33097149931884656</c:v>
                </c:pt>
                <c:pt idx="38">
                  <c:v>0.33889260836747642</c:v>
                </c:pt>
                <c:pt idx="39">
                  <c:v>0.34539800666189208</c:v>
                </c:pt>
                <c:pt idx="40">
                  <c:v>0.35081102019445948</c:v>
                </c:pt>
              </c:numCache>
            </c:numRef>
          </c:yVal>
          <c:smooth val="1"/>
          <c:extLst>
            <c:ext xmlns:c16="http://schemas.microsoft.com/office/drawing/2014/chart" uri="{C3380CC4-5D6E-409C-BE32-E72D297353CC}">
              <c16:uniqueId val="{00000001-0B7E-4B01-8A3C-397EBEE48DA5}"/>
            </c:ext>
          </c:extLst>
        </c:ser>
        <c:dLbls>
          <c:showLegendKey val="0"/>
          <c:showVal val="0"/>
          <c:showCatName val="0"/>
          <c:showSerName val="0"/>
          <c:showPercent val="0"/>
          <c:showBubbleSize val="0"/>
        </c:dLbls>
        <c:axId val="93771648"/>
        <c:axId val="93773184"/>
      </c:scatterChart>
      <c:valAx>
        <c:axId val="93771648"/>
        <c:scaling>
          <c:orientation val="minMax"/>
        </c:scaling>
        <c:delete val="0"/>
        <c:axPos val="b"/>
        <c:numFmt formatCode="&quot;$&quot;#,##0.0" sourceLinked="1"/>
        <c:majorTickMark val="out"/>
        <c:minorTickMark val="none"/>
        <c:tickLblPos val="nextTo"/>
        <c:crossAx val="93773184"/>
        <c:crosses val="autoZero"/>
        <c:crossBetween val="midCat"/>
      </c:valAx>
      <c:valAx>
        <c:axId val="93773184"/>
        <c:scaling>
          <c:orientation val="minMax"/>
        </c:scaling>
        <c:delete val="0"/>
        <c:axPos val="l"/>
        <c:majorGridlines/>
        <c:numFmt formatCode="0.00%" sourceLinked="1"/>
        <c:majorTickMark val="out"/>
        <c:minorTickMark val="none"/>
        <c:tickLblPos val="nextTo"/>
        <c:crossAx val="93771648"/>
        <c:crosses val="autoZero"/>
        <c:crossBetween val="midCat"/>
      </c:valAx>
    </c:plotArea>
    <c:plotVisOnly val="1"/>
    <c:dispBlanksAs val="gap"/>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ln(y) vs ln(x)</a:t>
            </a:r>
          </a:p>
        </c:rich>
      </c:tx>
      <c:overlay val="0"/>
    </c:title>
    <c:autoTitleDeleted val="0"/>
    <c:plotArea>
      <c:layout>
        <c:manualLayout>
          <c:layoutTarget val="inner"/>
          <c:xMode val="edge"/>
          <c:yMode val="edge"/>
          <c:x val="6.3627296587926513E-2"/>
          <c:y val="0.2066069978662739"/>
          <c:w val="0.66051071741032374"/>
          <c:h val="0.67803734964784079"/>
        </c:manualLayout>
      </c:layout>
      <c:scatterChart>
        <c:scatterStyle val="smoothMarker"/>
        <c:varyColors val="0"/>
        <c:ser>
          <c:idx val="0"/>
          <c:order val="0"/>
          <c:tx>
            <c:strRef>
              <c:f>TaxRate!$I$3</c:f>
              <c:strCache>
                <c:ptCount val="1"/>
                <c:pt idx="0">
                  <c:v>ln(y)</c:v>
                </c:pt>
              </c:strCache>
            </c:strRef>
          </c:tx>
          <c:trendline>
            <c:trendlineType val="poly"/>
            <c:order val="2"/>
            <c:dispRSqr val="1"/>
            <c:dispEq val="1"/>
            <c:trendlineLbl>
              <c:layout>
                <c:manualLayout>
                  <c:x val="-0.16923206474190727"/>
                  <c:y val="-5.3353747448235634E-3"/>
                </c:manualLayout>
              </c:layout>
              <c:numFmt formatCode="General" sourceLinked="0"/>
            </c:trendlineLbl>
          </c:trendline>
          <c:xVal>
            <c:numRef>
              <c:f>TaxRate!$H$4:$H$44</c:f>
              <c:numCache>
                <c:formatCode>General</c:formatCode>
                <c:ptCount val="41"/>
                <c:pt idx="1">
                  <c:v>6.9077552789821368</c:v>
                </c:pt>
                <c:pt idx="2">
                  <c:v>8.5171931914162382</c:v>
                </c:pt>
                <c:pt idx="3">
                  <c:v>9.2103403719761836</c:v>
                </c:pt>
                <c:pt idx="4">
                  <c:v>9.6158054800843473</c:v>
                </c:pt>
                <c:pt idx="5">
                  <c:v>9.9034875525361272</c:v>
                </c:pt>
                <c:pt idx="6">
                  <c:v>10.126631103850338</c:v>
                </c:pt>
                <c:pt idx="7">
                  <c:v>10.308952660644293</c:v>
                </c:pt>
                <c:pt idx="8">
                  <c:v>10.46310334047155</c:v>
                </c:pt>
                <c:pt idx="9">
                  <c:v>10.596634733096073</c:v>
                </c:pt>
                <c:pt idx="10">
                  <c:v>10.714417768752456</c:v>
                </c:pt>
                <c:pt idx="11">
                  <c:v>10.819778284410283</c:v>
                </c:pt>
                <c:pt idx="12">
                  <c:v>11.002099841204238</c:v>
                </c:pt>
                <c:pt idx="13">
                  <c:v>11.156250521031495</c:v>
                </c:pt>
                <c:pt idx="14">
                  <c:v>11.289781913656018</c:v>
                </c:pt>
                <c:pt idx="15">
                  <c:v>11.407564949312402</c:v>
                </c:pt>
                <c:pt idx="16">
                  <c:v>11.512925464970229</c:v>
                </c:pt>
                <c:pt idx="17">
                  <c:v>11.608235644774552</c:v>
                </c:pt>
                <c:pt idx="18">
                  <c:v>11.695247021764184</c:v>
                </c:pt>
                <c:pt idx="19">
                  <c:v>11.77528972943772</c:v>
                </c:pt>
                <c:pt idx="20">
                  <c:v>11.849397701591441</c:v>
                </c:pt>
                <c:pt idx="21">
                  <c:v>11.918390573078392</c:v>
                </c:pt>
                <c:pt idx="22">
                  <c:v>11.982929094215963</c:v>
                </c:pt>
                <c:pt idx="23">
                  <c:v>12.043553716032399</c:v>
                </c:pt>
                <c:pt idx="24">
                  <c:v>12.100712129872347</c:v>
                </c:pt>
                <c:pt idx="25">
                  <c:v>12.154779351142624</c:v>
                </c:pt>
                <c:pt idx="26">
                  <c:v>12.206072645530174</c:v>
                </c:pt>
                <c:pt idx="27">
                  <c:v>12.254862809699606</c:v>
                </c:pt>
                <c:pt idx="28">
                  <c:v>12.301382825334498</c:v>
                </c:pt>
                <c:pt idx="29">
                  <c:v>12.345834587905333</c:v>
                </c:pt>
                <c:pt idx="30">
                  <c:v>12.388394202324129</c:v>
                </c:pt>
                <c:pt idx="31">
                  <c:v>12.577636201962656</c:v>
                </c:pt>
                <c:pt idx="32">
                  <c:v>12.736700896592344</c:v>
                </c:pt>
                <c:pt idx="33">
                  <c:v>12.873902018105829</c:v>
                </c:pt>
                <c:pt idx="34">
                  <c:v>12.994530005894443</c:v>
                </c:pt>
                <c:pt idx="35">
                  <c:v>13.102160670086809</c:v>
                </c:pt>
                <c:pt idx="36">
                  <c:v>13.287877815881902</c:v>
                </c:pt>
                <c:pt idx="37">
                  <c:v>13.444446876573442</c:v>
                </c:pt>
                <c:pt idx="38">
                  <c:v>13.579788224443204</c:v>
                </c:pt>
                <c:pt idx="39">
                  <c:v>13.698976741708323</c:v>
                </c:pt>
                <c:pt idx="40">
                  <c:v>13.805460222110773</c:v>
                </c:pt>
              </c:numCache>
            </c:numRef>
          </c:xVal>
          <c:yVal>
            <c:numRef>
              <c:f>TaxRate!$I$4:$I$44</c:f>
              <c:numCache>
                <c:formatCode>General</c:formatCode>
                <c:ptCount val="41"/>
                <c:pt idx="1">
                  <c:v>-4.8629992952901908</c:v>
                </c:pt>
                <c:pt idx="2">
                  <c:v>-3.431656589146864</c:v>
                </c:pt>
                <c:pt idx="3">
                  <c:v>-2.972015746936675</c:v>
                </c:pt>
                <c:pt idx="4">
                  <c:v>-2.6456389409808132</c:v>
                </c:pt>
                <c:pt idx="5">
                  <c:v>-2.4753524369831887</c:v>
                </c:pt>
                <c:pt idx="6">
                  <c:v>-2.3693355825404705</c:v>
                </c:pt>
                <c:pt idx="7">
                  <c:v>-2.2966030213164981</c:v>
                </c:pt>
                <c:pt idx="8">
                  <c:v>-2.2434779618536815</c:v>
                </c:pt>
                <c:pt idx="9">
                  <c:v>-2.1508945797536132</c:v>
                </c:pt>
                <c:pt idx="10">
                  <c:v>-2.051614158043654</c:v>
                </c:pt>
                <c:pt idx="11">
                  <c:v>-1.97580250692035</c:v>
                </c:pt>
                <c:pt idx="12">
                  <c:v>-1.8671913943439227</c:v>
                </c:pt>
                <c:pt idx="13">
                  <c:v>-1.7928350474549881</c:v>
                </c:pt>
                <c:pt idx="14">
                  <c:v>-1.7385979211138227</c:v>
                </c:pt>
                <c:pt idx="15">
                  <c:v>-1.6964129264485075</c:v>
                </c:pt>
                <c:pt idx="16">
                  <c:v>-1.6495972477735772</c:v>
                </c:pt>
                <c:pt idx="17">
                  <c:v>-1.6121917006307214</c:v>
                </c:pt>
                <c:pt idx="18">
                  <c:v>-1.5815982869063012</c:v>
                </c:pt>
                <c:pt idx="19">
                  <c:v>-1.556100280557722</c:v>
                </c:pt>
                <c:pt idx="20">
                  <c:v>-1.5345159859168411</c:v>
                </c:pt>
                <c:pt idx="21">
                  <c:v>-1.5160044926426357</c:v>
                </c:pt>
                <c:pt idx="22">
                  <c:v>-1.4999506294881311</c:v>
                </c:pt>
                <c:pt idx="23">
                  <c:v>-1.4858937263426453</c:v>
                </c:pt>
                <c:pt idx="24">
                  <c:v>-1.4734818301678407</c:v>
                </c:pt>
                <c:pt idx="25">
                  <c:v>-1.4586715242957018</c:v>
                </c:pt>
                <c:pt idx="26">
                  <c:v>-1.4371065682409612</c:v>
                </c:pt>
                <c:pt idx="27">
                  <c:v>-1.4178976154665031</c:v>
                </c:pt>
                <c:pt idx="28">
                  <c:v>-1.4006755371639048</c:v>
                </c:pt>
                <c:pt idx="29">
                  <c:v>-1.3851450218633692</c:v>
                </c:pt>
                <c:pt idx="30">
                  <c:v>-1.3710668897891234</c:v>
                </c:pt>
                <c:pt idx="31">
                  <c:v>-1.3105192080563319</c:v>
                </c:pt>
                <c:pt idx="32">
                  <c:v>-1.269146447745892</c:v>
                </c:pt>
                <c:pt idx="33">
                  <c:v>-1.2412247900288249</c:v>
                </c:pt>
                <c:pt idx="34">
                  <c:v>-1.2036691467308669</c:v>
                </c:pt>
                <c:pt idx="35">
                  <c:v>-1.1693073222971424</c:v>
                </c:pt>
                <c:pt idx="36">
                  <c:v>-1.1198818914468562</c:v>
                </c:pt>
                <c:pt idx="37">
                  <c:v>-1.0860162387531944</c:v>
                </c:pt>
                <c:pt idx="38">
                  <c:v>-1.0613490189038861</c:v>
                </c:pt>
                <c:pt idx="39">
                  <c:v>-1.0425754294614196</c:v>
                </c:pt>
                <c:pt idx="40">
                  <c:v>-1.0278062619410386</c:v>
                </c:pt>
              </c:numCache>
            </c:numRef>
          </c:yVal>
          <c:smooth val="1"/>
          <c:extLst>
            <c:ext xmlns:c16="http://schemas.microsoft.com/office/drawing/2014/chart" uri="{C3380CC4-5D6E-409C-BE32-E72D297353CC}">
              <c16:uniqueId val="{00000000-B580-46E4-92F6-95B0CCF66188}"/>
            </c:ext>
          </c:extLst>
        </c:ser>
        <c:dLbls>
          <c:showLegendKey val="0"/>
          <c:showVal val="0"/>
          <c:showCatName val="0"/>
          <c:showSerName val="0"/>
          <c:showPercent val="0"/>
          <c:showBubbleSize val="0"/>
        </c:dLbls>
        <c:axId val="186610432"/>
        <c:axId val="186611968"/>
      </c:scatterChart>
      <c:valAx>
        <c:axId val="186610432"/>
        <c:scaling>
          <c:orientation val="minMax"/>
        </c:scaling>
        <c:delete val="0"/>
        <c:axPos val="b"/>
        <c:numFmt formatCode="General" sourceLinked="1"/>
        <c:majorTickMark val="out"/>
        <c:minorTickMark val="none"/>
        <c:tickLblPos val="nextTo"/>
        <c:crossAx val="186611968"/>
        <c:crossesAt val="-6"/>
        <c:crossBetween val="midCat"/>
      </c:valAx>
      <c:valAx>
        <c:axId val="186611968"/>
        <c:scaling>
          <c:orientation val="minMax"/>
          <c:max val="0"/>
          <c:min val="-6"/>
        </c:scaling>
        <c:delete val="0"/>
        <c:axPos val="l"/>
        <c:majorGridlines/>
        <c:numFmt formatCode="General" sourceLinked="1"/>
        <c:majorTickMark val="out"/>
        <c:minorTickMark val="none"/>
        <c:tickLblPos val="nextTo"/>
        <c:crossAx val="186610432"/>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trendline>
            <c:trendlineType val="linear"/>
            <c:dispRSqr val="0"/>
            <c:dispEq val="1"/>
            <c:trendlineLbl>
              <c:layout>
                <c:manualLayout>
                  <c:x val="5.3117122735895641E-4"/>
                  <c:y val="-0.65371122602149045"/>
                </c:manualLayout>
              </c:layout>
              <c:numFmt formatCode="General" sourceLinked="0"/>
            </c:trendlineLbl>
          </c:trendline>
          <c:xVal>
            <c:numRef>
              <c:f>'ROI vs Time'!$N$4:$N$28</c:f>
              <c:numCache>
                <c:formatCode>d\-mmm</c:formatCode>
                <c:ptCount val="25"/>
                <c:pt idx="0">
                  <c:v>42251</c:v>
                </c:pt>
                <c:pt idx="1">
                  <c:v>42258</c:v>
                </c:pt>
                <c:pt idx="2">
                  <c:v>42265</c:v>
                </c:pt>
                <c:pt idx="3">
                  <c:v>42272</c:v>
                </c:pt>
                <c:pt idx="4">
                  <c:v>42279</c:v>
                </c:pt>
                <c:pt idx="5">
                  <c:v>42286</c:v>
                </c:pt>
                <c:pt idx="6">
                  <c:v>42293</c:v>
                </c:pt>
                <c:pt idx="7">
                  <c:v>42300</c:v>
                </c:pt>
                <c:pt idx="8">
                  <c:v>42307</c:v>
                </c:pt>
                <c:pt idx="9">
                  <c:v>42314</c:v>
                </c:pt>
                <c:pt idx="10">
                  <c:v>42321</c:v>
                </c:pt>
                <c:pt idx="11">
                  <c:v>42328</c:v>
                </c:pt>
                <c:pt idx="12">
                  <c:v>42335</c:v>
                </c:pt>
                <c:pt idx="13">
                  <c:v>42342</c:v>
                </c:pt>
                <c:pt idx="14">
                  <c:v>42349</c:v>
                </c:pt>
                <c:pt idx="15">
                  <c:v>42356</c:v>
                </c:pt>
                <c:pt idx="16">
                  <c:v>42363</c:v>
                </c:pt>
                <c:pt idx="17">
                  <c:v>42370</c:v>
                </c:pt>
                <c:pt idx="18">
                  <c:v>42377</c:v>
                </c:pt>
                <c:pt idx="19">
                  <c:v>42384</c:v>
                </c:pt>
                <c:pt idx="20">
                  <c:v>42391</c:v>
                </c:pt>
                <c:pt idx="21">
                  <c:v>42398</c:v>
                </c:pt>
                <c:pt idx="22">
                  <c:v>42405</c:v>
                </c:pt>
                <c:pt idx="23">
                  <c:v>42412</c:v>
                </c:pt>
                <c:pt idx="24">
                  <c:v>42419</c:v>
                </c:pt>
              </c:numCache>
            </c:numRef>
          </c:xVal>
          <c:yVal>
            <c:numRef>
              <c:f>'ROI vs Time'!$O$4:$O$28</c:f>
              <c:numCache>
                <c:formatCode>#,##0.00</c:formatCode>
                <c:ptCount val="25"/>
                <c:pt idx="0">
                  <c:v>4319.25</c:v>
                </c:pt>
                <c:pt idx="1">
                  <c:v>4189.4875000000002</c:v>
                </c:pt>
                <c:pt idx="2">
                  <c:v>1554.5</c:v>
                </c:pt>
                <c:pt idx="3">
                  <c:v>4111</c:v>
                </c:pt>
                <c:pt idx="4">
                  <c:v>6419.5500000000011</c:v>
                </c:pt>
                <c:pt idx="5">
                  <c:v>6010</c:v>
                </c:pt>
                <c:pt idx="6">
                  <c:v>10113.5</c:v>
                </c:pt>
                <c:pt idx="7">
                  <c:v>883.5</c:v>
                </c:pt>
                <c:pt idx="8">
                  <c:v>3121.5</c:v>
                </c:pt>
                <c:pt idx="9">
                  <c:v>2186.75</c:v>
                </c:pt>
                <c:pt idx="10">
                  <c:v>7250.5</c:v>
                </c:pt>
                <c:pt idx="11">
                  <c:v>1926.5</c:v>
                </c:pt>
                <c:pt idx="12">
                  <c:v>4675.75</c:v>
                </c:pt>
                <c:pt idx="13">
                  <c:v>2444.5</c:v>
                </c:pt>
                <c:pt idx="14">
                  <c:v>3012.5</c:v>
                </c:pt>
                <c:pt idx="15">
                  <c:v>819.25</c:v>
                </c:pt>
                <c:pt idx="16">
                  <c:v>3579.2500000000018</c:v>
                </c:pt>
                <c:pt idx="17">
                  <c:v>1033.75</c:v>
                </c:pt>
                <c:pt idx="18">
                  <c:v>6727.4999999999991</c:v>
                </c:pt>
                <c:pt idx="19">
                  <c:v>998.00000000000045</c:v>
                </c:pt>
                <c:pt idx="20">
                  <c:v>1851</c:v>
                </c:pt>
                <c:pt idx="21">
                  <c:v>937.00000000000023</c:v>
                </c:pt>
                <c:pt idx="22">
                  <c:v>3985</c:v>
                </c:pt>
                <c:pt idx="23">
                  <c:v>884.00000000000045</c:v>
                </c:pt>
                <c:pt idx="24">
                  <c:v>1213</c:v>
                </c:pt>
              </c:numCache>
            </c:numRef>
          </c:yVal>
          <c:smooth val="1"/>
          <c:extLst>
            <c:ext xmlns:c16="http://schemas.microsoft.com/office/drawing/2014/chart" uri="{C3380CC4-5D6E-409C-BE32-E72D297353CC}">
              <c16:uniqueId val="{00000000-50A3-4A74-9F0F-C8C80FA37347}"/>
            </c:ext>
          </c:extLst>
        </c:ser>
        <c:dLbls>
          <c:showLegendKey val="0"/>
          <c:showVal val="0"/>
          <c:showCatName val="0"/>
          <c:showSerName val="0"/>
          <c:showPercent val="0"/>
          <c:showBubbleSize val="0"/>
        </c:dLbls>
        <c:axId val="186676352"/>
        <c:axId val="186677888"/>
      </c:scatterChart>
      <c:valAx>
        <c:axId val="186676352"/>
        <c:scaling>
          <c:orientation val="minMax"/>
        </c:scaling>
        <c:delete val="0"/>
        <c:axPos val="b"/>
        <c:numFmt formatCode="d\-mmm" sourceLinked="1"/>
        <c:majorTickMark val="out"/>
        <c:minorTickMark val="none"/>
        <c:tickLblPos val="nextTo"/>
        <c:crossAx val="186677888"/>
        <c:crosses val="autoZero"/>
        <c:crossBetween val="midCat"/>
      </c:valAx>
      <c:valAx>
        <c:axId val="186677888"/>
        <c:scaling>
          <c:orientation val="minMax"/>
        </c:scaling>
        <c:delete val="0"/>
        <c:axPos val="l"/>
        <c:majorGridlines/>
        <c:numFmt formatCode="#,##0.00" sourceLinked="1"/>
        <c:majorTickMark val="out"/>
        <c:minorTickMark val="none"/>
        <c:tickLblPos val="nextTo"/>
        <c:crossAx val="186676352"/>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'ROI vs Time'!$R$3</c:f>
              <c:strCache>
                <c:ptCount val="1"/>
                <c:pt idx="0">
                  <c:v>Brokerage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'ROI vs Time'!$Q$4:$Q$20</c:f>
              <c:numCache>
                <c:formatCode>d\-mmm</c:formatCode>
                <c:ptCount val="17"/>
                <c:pt idx="0">
                  <c:v>42741</c:v>
                </c:pt>
                <c:pt idx="1">
                  <c:v>42748</c:v>
                </c:pt>
                <c:pt idx="2">
                  <c:v>42755</c:v>
                </c:pt>
                <c:pt idx="3">
                  <c:v>42762</c:v>
                </c:pt>
                <c:pt idx="4">
                  <c:v>42769</c:v>
                </c:pt>
                <c:pt idx="5">
                  <c:v>42776</c:v>
                </c:pt>
                <c:pt idx="6">
                  <c:v>42783</c:v>
                </c:pt>
                <c:pt idx="7">
                  <c:v>42790</c:v>
                </c:pt>
                <c:pt idx="8">
                  <c:v>42797</c:v>
                </c:pt>
                <c:pt idx="9">
                  <c:v>42804</c:v>
                </c:pt>
                <c:pt idx="10">
                  <c:v>42811</c:v>
                </c:pt>
                <c:pt idx="11">
                  <c:v>42818</c:v>
                </c:pt>
                <c:pt idx="12">
                  <c:v>42825</c:v>
                </c:pt>
                <c:pt idx="13">
                  <c:v>42832</c:v>
                </c:pt>
                <c:pt idx="14">
                  <c:v>42839</c:v>
                </c:pt>
                <c:pt idx="15">
                  <c:v>42846</c:v>
                </c:pt>
                <c:pt idx="16">
                  <c:v>42853</c:v>
                </c:pt>
              </c:numCache>
            </c:numRef>
          </c:xVal>
          <c:yVal>
            <c:numRef>
              <c:f>'ROI vs Time'!$R$4:$R$20</c:f>
              <c:numCache>
                <c:formatCode>#,##0.00</c:formatCode>
                <c:ptCount val="17"/>
                <c:pt idx="0">
                  <c:v>4243</c:v>
                </c:pt>
                <c:pt idx="1">
                  <c:v>0</c:v>
                </c:pt>
                <c:pt idx="2">
                  <c:v>1285</c:v>
                </c:pt>
                <c:pt idx="3">
                  <c:v>1294</c:v>
                </c:pt>
                <c:pt idx="4">
                  <c:v>2238</c:v>
                </c:pt>
                <c:pt idx="5">
                  <c:v>2390.9999999999991</c:v>
                </c:pt>
                <c:pt idx="6">
                  <c:v>1496.1</c:v>
                </c:pt>
                <c:pt idx="7">
                  <c:v>3628</c:v>
                </c:pt>
                <c:pt idx="8">
                  <c:v>1411</c:v>
                </c:pt>
                <c:pt idx="9">
                  <c:v>809</c:v>
                </c:pt>
                <c:pt idx="10">
                  <c:v>1191.9999999999995</c:v>
                </c:pt>
                <c:pt idx="11">
                  <c:v>2403</c:v>
                </c:pt>
                <c:pt idx="12">
                  <c:v>814.99999999999977</c:v>
                </c:pt>
                <c:pt idx="13">
                  <c:v>952</c:v>
                </c:pt>
                <c:pt idx="14">
                  <c:v>1708.0000000000002</c:v>
                </c:pt>
                <c:pt idx="15">
                  <c:v>3715.1105579999971</c:v>
                </c:pt>
                <c:pt idx="16" formatCode="General">
                  <c:v>2107</c:v>
                </c:pt>
              </c:numCache>
            </c:numRef>
          </c:yVal>
          <c:smooth val="1"/>
          <c:extLst>
            <c:ext xmlns:c16="http://schemas.microsoft.com/office/drawing/2014/chart" uri="{C3380CC4-5D6E-409C-BE32-E72D297353CC}">
              <c16:uniqueId val="{00000000-2039-442F-A80B-20D1F1633D0C}"/>
            </c:ext>
          </c:extLst>
        </c:ser>
        <c:ser>
          <c:idx val="1"/>
          <c:order val="1"/>
          <c:tx>
            <c:strRef>
              <c:f>'ROI vs Time'!$S$3</c:f>
              <c:strCache>
                <c:ptCount val="1"/>
                <c:pt idx="0">
                  <c:v>IRA</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'ROI vs Time'!$Q$4:$Q$20</c:f>
              <c:numCache>
                <c:formatCode>d\-mmm</c:formatCode>
                <c:ptCount val="17"/>
                <c:pt idx="0">
                  <c:v>42741</c:v>
                </c:pt>
                <c:pt idx="1">
                  <c:v>42748</c:v>
                </c:pt>
                <c:pt idx="2">
                  <c:v>42755</c:v>
                </c:pt>
                <c:pt idx="3">
                  <c:v>42762</c:v>
                </c:pt>
                <c:pt idx="4">
                  <c:v>42769</c:v>
                </c:pt>
                <c:pt idx="5">
                  <c:v>42776</c:v>
                </c:pt>
                <c:pt idx="6">
                  <c:v>42783</c:v>
                </c:pt>
                <c:pt idx="7">
                  <c:v>42790</c:v>
                </c:pt>
                <c:pt idx="8">
                  <c:v>42797</c:v>
                </c:pt>
                <c:pt idx="9">
                  <c:v>42804</c:v>
                </c:pt>
                <c:pt idx="10">
                  <c:v>42811</c:v>
                </c:pt>
                <c:pt idx="11">
                  <c:v>42818</c:v>
                </c:pt>
                <c:pt idx="12">
                  <c:v>42825</c:v>
                </c:pt>
                <c:pt idx="13">
                  <c:v>42832</c:v>
                </c:pt>
                <c:pt idx="14">
                  <c:v>42839</c:v>
                </c:pt>
                <c:pt idx="15">
                  <c:v>42846</c:v>
                </c:pt>
                <c:pt idx="16">
                  <c:v>42853</c:v>
                </c:pt>
              </c:numCache>
            </c:numRef>
          </c:xVal>
          <c:yVal>
            <c:numRef>
              <c:f>'ROI vs Time'!$S$4:$S$20</c:f>
              <c:numCache>
                <c:formatCode>0.00</c:formatCode>
                <c:ptCount val="17"/>
                <c:pt idx="0">
                  <c:v>0</c:v>
                </c:pt>
                <c:pt idx="1">
                  <c:v>-70.599999999999994</c:v>
                </c:pt>
                <c:pt idx="2">
                  <c:v>66.000000000000028</c:v>
                </c:pt>
                <c:pt idx="3">
                  <c:v>1120</c:v>
                </c:pt>
                <c:pt idx="4" formatCode="General">
                  <c:v>1351</c:v>
                </c:pt>
                <c:pt idx="5">
                  <c:v>2020.9999999999998</c:v>
                </c:pt>
                <c:pt idx="6">
                  <c:v>1190</c:v>
                </c:pt>
                <c:pt idx="7">
                  <c:v>2021</c:v>
                </c:pt>
                <c:pt idx="8">
                  <c:v>1273</c:v>
                </c:pt>
                <c:pt idx="9">
                  <c:v>809</c:v>
                </c:pt>
                <c:pt idx="10">
                  <c:v>554</c:v>
                </c:pt>
                <c:pt idx="11">
                  <c:v>3410</c:v>
                </c:pt>
                <c:pt idx="12">
                  <c:v>415.00000000000006</c:v>
                </c:pt>
                <c:pt idx="13" formatCode="General">
                  <c:v>1182</c:v>
                </c:pt>
                <c:pt idx="14">
                  <c:v>1326</c:v>
                </c:pt>
                <c:pt idx="15">
                  <c:v>1263</c:v>
                </c:pt>
                <c:pt idx="16">
                  <c:v>2000</c:v>
                </c:pt>
              </c:numCache>
            </c:numRef>
          </c:yVal>
          <c:smooth val="1"/>
          <c:extLst>
            <c:ext xmlns:c16="http://schemas.microsoft.com/office/drawing/2014/chart" uri="{C3380CC4-5D6E-409C-BE32-E72D297353CC}">
              <c16:uniqueId val="{00000001-2039-442F-A80B-20D1F1633D0C}"/>
            </c:ext>
          </c:extLst>
        </c:ser>
        <c:dLbls>
          <c:showLegendKey val="0"/>
          <c:showVal val="0"/>
          <c:showCatName val="0"/>
          <c:showSerName val="0"/>
          <c:showPercent val="0"/>
          <c:showBubbleSize val="0"/>
        </c:dLbls>
        <c:axId val="290139743"/>
        <c:axId val="204830111"/>
      </c:scatterChart>
      <c:valAx>
        <c:axId val="290139743"/>
        <c:scaling>
          <c:orientation val="minMax"/>
        </c:scaling>
        <c:delete val="0"/>
        <c:axPos val="b"/>
        <c:majorGridlines>
          <c:spPr>
            <a:ln w="9525" cap="flat" cmpd="sng" algn="ctr">
              <a:solidFill>
                <a:schemeClr val="tx1">
                  <a:lumMod val="15000"/>
                  <a:lumOff val="85000"/>
                </a:schemeClr>
              </a:solidFill>
              <a:round/>
            </a:ln>
            <a:effectLst/>
          </c:spPr>
        </c:majorGridlines>
        <c:numFmt formatCode="d\-mmm"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30111"/>
        <c:crosses val="autoZero"/>
        <c:crossBetween val="midCat"/>
      </c:valAx>
      <c:valAx>
        <c:axId val="20483011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13974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'ROI vs Time'!$T$3</c:f>
              <c:strCache>
                <c:ptCount val="1"/>
                <c:pt idx="0">
                  <c:v>Brokerage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rgbClr val="002060"/>
                </a:solidFill>
                <a:prstDash val="dash"/>
              </a:ln>
              <a:effectLst/>
            </c:spPr>
            <c:trendlineType val="linear"/>
            <c:intercept val="0"/>
            <c:dispRSqr val="1"/>
            <c:dispEq val="1"/>
            <c:trendlineLbl>
              <c:layout>
                <c:manualLayout>
                  <c:x val="-0.12085880256424798"/>
                  <c:y val="-2.480549894835693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'ROI vs Time'!$P$4:$P$23</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'ROI vs Time'!$T$4:$T$23</c:f>
              <c:numCache>
                <c:formatCode>General</c:formatCode>
                <c:ptCount val="20"/>
                <c:pt idx="0">
                  <c:v>4243</c:v>
                </c:pt>
                <c:pt idx="1">
                  <c:v>4243</c:v>
                </c:pt>
                <c:pt idx="2">
                  <c:v>5528</c:v>
                </c:pt>
                <c:pt idx="3">
                  <c:v>6822</c:v>
                </c:pt>
                <c:pt idx="4">
                  <c:v>9060</c:v>
                </c:pt>
                <c:pt idx="5">
                  <c:v>11451</c:v>
                </c:pt>
                <c:pt idx="6">
                  <c:v>12947.1</c:v>
                </c:pt>
                <c:pt idx="7">
                  <c:v>16575.099999999999</c:v>
                </c:pt>
                <c:pt idx="8">
                  <c:v>17986.099999999999</c:v>
                </c:pt>
                <c:pt idx="9">
                  <c:v>18795.099999999999</c:v>
                </c:pt>
                <c:pt idx="10">
                  <c:v>19987.099999999999</c:v>
                </c:pt>
                <c:pt idx="11">
                  <c:v>22390.1</c:v>
                </c:pt>
                <c:pt idx="12">
                  <c:v>23205.1</c:v>
                </c:pt>
                <c:pt idx="13">
                  <c:v>24157.1</c:v>
                </c:pt>
                <c:pt idx="14">
                  <c:v>25865.1</c:v>
                </c:pt>
                <c:pt idx="15">
                  <c:v>29580.210557999995</c:v>
                </c:pt>
                <c:pt idx="16">
                  <c:v>31687.210557999995</c:v>
                </c:pt>
              </c:numCache>
            </c:numRef>
          </c:yVal>
          <c:smooth val="1"/>
          <c:extLst>
            <c:ext xmlns:c16="http://schemas.microsoft.com/office/drawing/2014/chart" uri="{C3380CC4-5D6E-409C-BE32-E72D297353CC}">
              <c16:uniqueId val="{00000000-9CFA-454C-AA7A-B45944DF1877}"/>
            </c:ext>
          </c:extLst>
        </c:ser>
        <c:ser>
          <c:idx val="1"/>
          <c:order val="1"/>
          <c:tx>
            <c:strRef>
              <c:f>'ROI vs Time'!$U$3</c:f>
              <c:strCache>
                <c:ptCount val="1"/>
                <c:pt idx="0">
                  <c:v>IRA</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rgbClr val="002060"/>
                </a:solidFill>
                <a:prstDash val="dash"/>
              </a:ln>
              <a:effectLst/>
            </c:spPr>
            <c:trendlineType val="linear"/>
            <c:intercept val="0"/>
            <c:dispRSqr val="1"/>
            <c:dispEq val="1"/>
            <c:trendlineLbl>
              <c:layout>
                <c:manualLayout>
                  <c:x val="1.3348912230620283E-2"/>
                  <c:y val="0.1126518532202600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'ROI vs Time'!$P$4:$P$23</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'ROI vs Time'!$U$4:$U$23</c:f>
              <c:numCache>
                <c:formatCode>General</c:formatCode>
                <c:ptCount val="20"/>
                <c:pt idx="0">
                  <c:v>0</c:v>
                </c:pt>
                <c:pt idx="1">
                  <c:v>-70.599999999999994</c:v>
                </c:pt>
                <c:pt idx="2">
                  <c:v>-4.5999999999999659</c:v>
                </c:pt>
                <c:pt idx="3">
                  <c:v>1115.4000000000001</c:v>
                </c:pt>
                <c:pt idx="4">
                  <c:v>2466.4</c:v>
                </c:pt>
                <c:pt idx="5">
                  <c:v>4487.3999999999996</c:v>
                </c:pt>
                <c:pt idx="6">
                  <c:v>5677.4</c:v>
                </c:pt>
                <c:pt idx="7">
                  <c:v>7698.4</c:v>
                </c:pt>
                <c:pt idx="8">
                  <c:v>8971.4</c:v>
                </c:pt>
                <c:pt idx="9">
                  <c:v>9780.4</c:v>
                </c:pt>
                <c:pt idx="10">
                  <c:v>10334.4</c:v>
                </c:pt>
                <c:pt idx="11">
                  <c:v>13744.4</c:v>
                </c:pt>
                <c:pt idx="12">
                  <c:v>14159.4</c:v>
                </c:pt>
                <c:pt idx="13">
                  <c:v>15341.4</c:v>
                </c:pt>
                <c:pt idx="14">
                  <c:v>16667.400000000001</c:v>
                </c:pt>
                <c:pt idx="15">
                  <c:v>17930.400000000001</c:v>
                </c:pt>
                <c:pt idx="16">
                  <c:v>19930.400000000001</c:v>
                </c:pt>
              </c:numCache>
            </c:numRef>
          </c:yVal>
          <c:smooth val="1"/>
          <c:extLst>
            <c:ext xmlns:c16="http://schemas.microsoft.com/office/drawing/2014/chart" uri="{C3380CC4-5D6E-409C-BE32-E72D297353CC}">
              <c16:uniqueId val="{00000001-9CFA-454C-AA7A-B45944DF1877}"/>
            </c:ext>
          </c:extLst>
        </c:ser>
        <c:dLbls>
          <c:showLegendKey val="0"/>
          <c:showVal val="0"/>
          <c:showCatName val="0"/>
          <c:showSerName val="0"/>
          <c:showPercent val="0"/>
          <c:showBubbleSize val="0"/>
        </c:dLbls>
        <c:axId val="1439857503"/>
        <c:axId val="1439818239"/>
      </c:scatterChart>
      <c:valAx>
        <c:axId val="14398575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818239"/>
        <c:crosses val="autoZero"/>
        <c:crossBetween val="midCat"/>
      </c:valAx>
      <c:valAx>
        <c:axId val="1439818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85750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1"/>
          <c:order val="0"/>
          <c:tx>
            <c:strRef>
              <c:f>VZ_Premium_vs_Time!$E$6</c:f>
              <c:strCache>
                <c:ptCount val="1"/>
                <c:pt idx="0">
                  <c:v>Annual ROI</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VZ_Premium_vs_Time!$C$7:$C$17</c:f>
              <c:numCache>
                <c:formatCode>General</c:formatCode>
                <c:ptCount val="11"/>
                <c:pt idx="0">
                  <c:v>2</c:v>
                </c:pt>
                <c:pt idx="1">
                  <c:v>3</c:v>
                </c:pt>
                <c:pt idx="2">
                  <c:v>4</c:v>
                </c:pt>
                <c:pt idx="3">
                  <c:v>6</c:v>
                </c:pt>
                <c:pt idx="4">
                  <c:v>7</c:v>
                </c:pt>
                <c:pt idx="5">
                  <c:v>11</c:v>
                </c:pt>
                <c:pt idx="6">
                  <c:v>15</c:v>
                </c:pt>
                <c:pt idx="7">
                  <c:v>19</c:v>
                </c:pt>
                <c:pt idx="8">
                  <c:v>23</c:v>
                </c:pt>
                <c:pt idx="9">
                  <c:v>35</c:v>
                </c:pt>
                <c:pt idx="10">
                  <c:v>48</c:v>
                </c:pt>
              </c:numCache>
            </c:numRef>
          </c:xVal>
          <c:yVal>
            <c:numRef>
              <c:f>VZ_Premium_vs_Time!$E$7:$E$17</c:f>
              <c:numCache>
                <c:formatCode>0.00%</c:formatCode>
                <c:ptCount val="11"/>
                <c:pt idx="0">
                  <c:v>1.0416666666666668E-2</c:v>
                </c:pt>
                <c:pt idx="1">
                  <c:v>1.7361111111111112E-2</c:v>
                </c:pt>
                <c:pt idx="2">
                  <c:v>2.6041666666666668E-2</c:v>
                </c:pt>
                <c:pt idx="3">
                  <c:v>3.6458333333333329E-2</c:v>
                </c:pt>
                <c:pt idx="4">
                  <c:v>4.0178571428571438E-2</c:v>
                </c:pt>
                <c:pt idx="5">
                  <c:v>4.356060606060607E-2</c:v>
                </c:pt>
                <c:pt idx="6">
                  <c:v>4.3055555555555555E-2</c:v>
                </c:pt>
                <c:pt idx="7">
                  <c:v>4.3859649122807022E-2</c:v>
                </c:pt>
                <c:pt idx="8">
                  <c:v>4.1666666666666671E-2</c:v>
                </c:pt>
                <c:pt idx="9">
                  <c:v>4.1964285714285711E-2</c:v>
                </c:pt>
                <c:pt idx="10">
                  <c:v>3.8628472222222231E-2</c:v>
                </c:pt>
              </c:numCache>
            </c:numRef>
          </c:yVal>
          <c:smooth val="1"/>
          <c:extLst>
            <c:ext xmlns:c16="http://schemas.microsoft.com/office/drawing/2014/chart" uri="{C3380CC4-5D6E-409C-BE32-E72D297353CC}">
              <c16:uniqueId val="{00000001-77CE-4790-BDBC-84B10D1C8F1E}"/>
            </c:ext>
          </c:extLst>
        </c:ser>
        <c:dLbls>
          <c:showLegendKey val="0"/>
          <c:showVal val="0"/>
          <c:showCatName val="0"/>
          <c:showSerName val="0"/>
          <c:showPercent val="0"/>
          <c:showBubbleSize val="0"/>
        </c:dLbls>
        <c:axId val="516056575"/>
        <c:axId val="464051071"/>
      </c:scatterChart>
      <c:valAx>
        <c:axId val="5160565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051071"/>
        <c:crosses val="autoZero"/>
        <c:crossBetween val="midCat"/>
      </c:valAx>
      <c:valAx>
        <c:axId val="4640510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05657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669072615923006E-2"/>
          <c:y val="0.12347496097305304"/>
          <c:w val="0.51924671916010501"/>
          <c:h val="0.65574679365263955"/>
        </c:manualLayout>
      </c:layout>
      <c:scatterChart>
        <c:scatterStyle val="lineMarker"/>
        <c:varyColors val="0"/>
        <c:ser>
          <c:idx val="0"/>
          <c:order val="0"/>
          <c:tx>
            <c:strRef>
              <c:f>TimeValue_0!$K$18</c:f>
              <c:strCache>
                <c:ptCount val="1"/>
                <c:pt idx="0">
                  <c:v>f(u)=-ATMDistance(%)/ln(TimeValue(%))</c:v>
                </c:pt>
              </c:strCache>
            </c:strRef>
          </c:tx>
          <c:spPr>
            <a:ln w="28575">
              <a:noFill/>
            </a:ln>
          </c:spPr>
          <c:xVal>
            <c:numRef>
              <c:f>TimeValue_0!$A$19:$A$312</c:f>
              <c:numCache>
                <c:formatCode>0%</c:formatCode>
                <c:ptCount val="14"/>
                <c:pt idx="0">
                  <c:v>0.01</c:v>
                </c:pt>
                <c:pt idx="1">
                  <c:v>0.02</c:v>
                </c:pt>
                <c:pt idx="2">
                  <c:v>0.05</c:v>
                </c:pt>
                <c:pt idx="3">
                  <c:v>0.08</c:v>
                </c:pt>
                <c:pt idx="4">
                  <c:v>0.1</c:v>
                </c:pt>
                <c:pt idx="5">
                  <c:v>0.12</c:v>
                </c:pt>
                <c:pt idx="6">
                  <c:v>0.15</c:v>
                </c:pt>
                <c:pt idx="7">
                  <c:v>0.2</c:v>
                </c:pt>
                <c:pt idx="8">
                  <c:v>0.25</c:v>
                </c:pt>
                <c:pt idx="9">
                  <c:v>0.3</c:v>
                </c:pt>
                <c:pt idx="10">
                  <c:v>0.35</c:v>
                </c:pt>
                <c:pt idx="11">
                  <c:v>0.4</c:v>
                </c:pt>
                <c:pt idx="12">
                  <c:v>0.5</c:v>
                </c:pt>
                <c:pt idx="13">
                  <c:v>0.6</c:v>
                </c:pt>
              </c:numCache>
            </c:numRef>
          </c:xVal>
          <c:yVal>
            <c:numRef>
              <c:f>TimeValue_0!$K$19:$K$312</c:f>
              <c:numCache>
                <c:formatCode>General</c:formatCode>
                <c:ptCount val="14"/>
                <c:pt idx="0">
                  <c:v>7.1720836784557899E-3</c:v>
                </c:pt>
                <c:pt idx="1">
                  <c:v>1.5231121524400081E-2</c:v>
                </c:pt>
                <c:pt idx="2">
                  <c:v>3.9837130447231368E-2</c:v>
                </c:pt>
                <c:pt idx="3">
                  <c:v>6.489575231766756E-2</c:v>
                </c:pt>
                <c:pt idx="4">
                  <c:v>8.1737279683868347E-2</c:v>
                </c:pt>
                <c:pt idx="5">
                  <c:v>9.8573954154053789E-2</c:v>
                </c:pt>
                <c:pt idx="6">
                  <c:v>0.12354322212154989</c:v>
                </c:pt>
                <c:pt idx="7">
                  <c:v>0.16309931376747733</c:v>
                </c:pt>
                <c:pt idx="8">
                  <c:v>0.19770641800613961</c:v>
                </c:pt>
                <c:pt idx="9">
                  <c:v>0.22478101977866116</c:v>
                </c:pt>
                <c:pt idx="10">
                  <c:v>0.24261641319302565</c:v>
                </c:pt>
                <c:pt idx="11">
                  <c:v>0.25086839516516712</c:v>
                </c:pt>
                <c:pt idx="12">
                  <c:v>0.24342937286395119</c:v>
                </c:pt>
                <c:pt idx="13">
                  <c:v>0.21729166578240613</c:v>
                </c:pt>
              </c:numCache>
            </c:numRef>
          </c:yVal>
          <c:smooth val="0"/>
          <c:extLst>
            <c:ext xmlns:c16="http://schemas.microsoft.com/office/drawing/2014/chart" uri="{C3380CC4-5D6E-409C-BE32-E72D297353CC}">
              <c16:uniqueId val="{00000000-8940-4242-8E67-8E0D0857555C}"/>
            </c:ext>
          </c:extLst>
        </c:ser>
        <c:ser>
          <c:idx val="1"/>
          <c:order val="1"/>
          <c:tx>
            <c:strRef>
              <c:f>TimeValue_0!$L$18</c:f>
              <c:strCache>
                <c:ptCount val="1"/>
                <c:pt idx="0">
                  <c:v>y=u</c:v>
                </c:pt>
              </c:strCache>
            </c:strRef>
          </c:tx>
          <c:spPr>
            <a:ln w="28575">
              <a:solidFill>
                <a:srgbClr val="FF0000"/>
              </a:solidFill>
              <a:prstDash val="dash"/>
            </a:ln>
          </c:spPr>
          <c:marker>
            <c:symbol val="none"/>
          </c:marker>
          <c:xVal>
            <c:numRef>
              <c:f>TimeValue_0!$A$19:$A$312</c:f>
              <c:numCache>
                <c:formatCode>0%</c:formatCode>
                <c:ptCount val="14"/>
                <c:pt idx="0">
                  <c:v>0.01</c:v>
                </c:pt>
                <c:pt idx="1">
                  <c:v>0.02</c:v>
                </c:pt>
                <c:pt idx="2">
                  <c:v>0.05</c:v>
                </c:pt>
                <c:pt idx="3">
                  <c:v>0.08</c:v>
                </c:pt>
                <c:pt idx="4">
                  <c:v>0.1</c:v>
                </c:pt>
                <c:pt idx="5">
                  <c:v>0.12</c:v>
                </c:pt>
                <c:pt idx="6">
                  <c:v>0.15</c:v>
                </c:pt>
                <c:pt idx="7">
                  <c:v>0.2</c:v>
                </c:pt>
                <c:pt idx="8">
                  <c:v>0.25</c:v>
                </c:pt>
                <c:pt idx="9">
                  <c:v>0.3</c:v>
                </c:pt>
                <c:pt idx="10">
                  <c:v>0.35</c:v>
                </c:pt>
                <c:pt idx="11">
                  <c:v>0.4</c:v>
                </c:pt>
                <c:pt idx="12">
                  <c:v>0.5</c:v>
                </c:pt>
                <c:pt idx="13">
                  <c:v>0.6</c:v>
                </c:pt>
              </c:numCache>
            </c:numRef>
          </c:xVal>
          <c:yVal>
            <c:numRef>
              <c:f>TimeValue_0!$L$19:$L$312</c:f>
              <c:numCache>
                <c:formatCode>0.00</c:formatCode>
                <c:ptCount val="14"/>
                <c:pt idx="0">
                  <c:v>0.01</c:v>
                </c:pt>
                <c:pt idx="1">
                  <c:v>0.02</c:v>
                </c:pt>
                <c:pt idx="2">
                  <c:v>0.05</c:v>
                </c:pt>
                <c:pt idx="3">
                  <c:v>0.08</c:v>
                </c:pt>
                <c:pt idx="4">
                  <c:v>0.1</c:v>
                </c:pt>
                <c:pt idx="5">
                  <c:v>0.12</c:v>
                </c:pt>
                <c:pt idx="6">
                  <c:v>0.15</c:v>
                </c:pt>
                <c:pt idx="7">
                  <c:v>0.2</c:v>
                </c:pt>
                <c:pt idx="8">
                  <c:v>0.25</c:v>
                </c:pt>
                <c:pt idx="9">
                  <c:v>0.3</c:v>
                </c:pt>
                <c:pt idx="10">
                  <c:v>0.35</c:v>
                </c:pt>
                <c:pt idx="11">
                  <c:v>0.4</c:v>
                </c:pt>
                <c:pt idx="12">
                  <c:v>0.5</c:v>
                </c:pt>
                <c:pt idx="13">
                  <c:v>0.6</c:v>
                </c:pt>
              </c:numCache>
            </c:numRef>
          </c:yVal>
          <c:smooth val="0"/>
          <c:extLst>
            <c:ext xmlns:c16="http://schemas.microsoft.com/office/drawing/2014/chart" uri="{C3380CC4-5D6E-409C-BE32-E72D297353CC}">
              <c16:uniqueId val="{00000001-8940-4242-8E67-8E0D0857555C}"/>
            </c:ext>
          </c:extLst>
        </c:ser>
        <c:ser>
          <c:idx val="2"/>
          <c:order val="2"/>
          <c:tx>
            <c:strRef>
              <c:f>TimeValue_0!$S$18</c:f>
              <c:strCache>
                <c:ptCount val="1"/>
                <c:pt idx="0">
                  <c:v>u-a2*u^2</c:v>
                </c:pt>
              </c:strCache>
            </c:strRef>
          </c:tx>
          <c:spPr>
            <a:ln w="28575">
              <a:noFill/>
            </a:ln>
          </c:spPr>
          <c:xVal>
            <c:numRef>
              <c:f>TimeValue_0!$A$19:$A$312</c:f>
              <c:numCache>
                <c:formatCode>0%</c:formatCode>
                <c:ptCount val="14"/>
                <c:pt idx="0">
                  <c:v>0.01</c:v>
                </c:pt>
                <c:pt idx="1">
                  <c:v>0.02</c:v>
                </c:pt>
                <c:pt idx="2">
                  <c:v>0.05</c:v>
                </c:pt>
                <c:pt idx="3">
                  <c:v>0.08</c:v>
                </c:pt>
                <c:pt idx="4">
                  <c:v>0.1</c:v>
                </c:pt>
                <c:pt idx="5">
                  <c:v>0.12</c:v>
                </c:pt>
                <c:pt idx="6">
                  <c:v>0.15</c:v>
                </c:pt>
                <c:pt idx="7">
                  <c:v>0.2</c:v>
                </c:pt>
                <c:pt idx="8">
                  <c:v>0.25</c:v>
                </c:pt>
                <c:pt idx="9">
                  <c:v>0.3</c:v>
                </c:pt>
                <c:pt idx="10">
                  <c:v>0.35</c:v>
                </c:pt>
                <c:pt idx="11">
                  <c:v>0.4</c:v>
                </c:pt>
                <c:pt idx="12">
                  <c:v>0.5</c:v>
                </c:pt>
                <c:pt idx="13">
                  <c:v>0.6</c:v>
                </c:pt>
              </c:numCache>
            </c:numRef>
          </c:xVal>
          <c:yVal>
            <c:numRef>
              <c:f>TimeValue_0!$S$19:$S$312</c:f>
              <c:numCache>
                <c:formatCode>General</c:formatCode>
                <c:ptCount val="14"/>
                <c:pt idx="0">
                  <c:v>9.9000000000000008E-3</c:v>
                </c:pt>
                <c:pt idx="1">
                  <c:v>1.9599999999999999E-2</c:v>
                </c:pt>
                <c:pt idx="2">
                  <c:v>4.7500000000000001E-2</c:v>
                </c:pt>
                <c:pt idx="3">
                  <c:v>7.3599999999999999E-2</c:v>
                </c:pt>
                <c:pt idx="4">
                  <c:v>0.09</c:v>
                </c:pt>
                <c:pt idx="5">
                  <c:v>0.1056</c:v>
                </c:pt>
                <c:pt idx="6">
                  <c:v>0.1275</c:v>
                </c:pt>
                <c:pt idx="7">
                  <c:v>0.16</c:v>
                </c:pt>
                <c:pt idx="8">
                  <c:v>0.1875</c:v>
                </c:pt>
                <c:pt idx="9">
                  <c:v>0.21</c:v>
                </c:pt>
                <c:pt idx="10">
                  <c:v>0.22749999999999998</c:v>
                </c:pt>
                <c:pt idx="11">
                  <c:v>0.24</c:v>
                </c:pt>
                <c:pt idx="12">
                  <c:v>0.25</c:v>
                </c:pt>
                <c:pt idx="13">
                  <c:v>0.24</c:v>
                </c:pt>
              </c:numCache>
            </c:numRef>
          </c:yVal>
          <c:smooth val="0"/>
          <c:extLst>
            <c:ext xmlns:c16="http://schemas.microsoft.com/office/drawing/2014/chart" uri="{C3380CC4-5D6E-409C-BE32-E72D297353CC}">
              <c16:uniqueId val="{00000002-8940-4242-8E67-8E0D0857555C}"/>
            </c:ext>
          </c:extLst>
        </c:ser>
        <c:dLbls>
          <c:showLegendKey val="0"/>
          <c:showVal val="0"/>
          <c:showCatName val="0"/>
          <c:showSerName val="0"/>
          <c:showPercent val="0"/>
          <c:showBubbleSize val="0"/>
        </c:dLbls>
        <c:axId val="184696832"/>
        <c:axId val="184698368"/>
      </c:scatterChart>
      <c:valAx>
        <c:axId val="184696832"/>
        <c:scaling>
          <c:orientation val="minMax"/>
        </c:scaling>
        <c:delete val="0"/>
        <c:axPos val="b"/>
        <c:numFmt formatCode="0%" sourceLinked="1"/>
        <c:majorTickMark val="out"/>
        <c:minorTickMark val="none"/>
        <c:tickLblPos val="nextTo"/>
        <c:crossAx val="184698368"/>
        <c:crosses val="autoZero"/>
        <c:crossBetween val="midCat"/>
      </c:valAx>
      <c:valAx>
        <c:axId val="184698368"/>
        <c:scaling>
          <c:orientation val="minMax"/>
        </c:scaling>
        <c:delete val="0"/>
        <c:axPos val="l"/>
        <c:majorGridlines/>
        <c:numFmt formatCode="General" sourceLinked="1"/>
        <c:majorTickMark val="out"/>
        <c:minorTickMark val="none"/>
        <c:tickLblPos val="nextTo"/>
        <c:crossAx val="184696832"/>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strRef>
              <c:f>TimeValue_0!$X$18</c:f>
              <c:strCache>
                <c:ptCount val="1"/>
                <c:pt idx="0">
                  <c:v>d1=G+0.5*u</c:v>
                </c:pt>
              </c:strCache>
            </c:strRef>
          </c:tx>
          <c:spPr>
            <a:ln w="28575">
              <a:noFill/>
            </a:ln>
          </c:spPr>
          <c:xVal>
            <c:numRef>
              <c:f>TimeValue_0!$A$19:$A$298</c:f>
              <c:numCache>
                <c:formatCode>0%</c:formatCode>
                <c:ptCount val="14"/>
                <c:pt idx="0">
                  <c:v>0.01</c:v>
                </c:pt>
                <c:pt idx="1">
                  <c:v>0.02</c:v>
                </c:pt>
                <c:pt idx="2">
                  <c:v>0.05</c:v>
                </c:pt>
                <c:pt idx="3">
                  <c:v>0.08</c:v>
                </c:pt>
                <c:pt idx="4">
                  <c:v>0.1</c:v>
                </c:pt>
                <c:pt idx="5">
                  <c:v>0.12</c:v>
                </c:pt>
                <c:pt idx="6">
                  <c:v>0.15</c:v>
                </c:pt>
                <c:pt idx="7">
                  <c:v>0.2</c:v>
                </c:pt>
                <c:pt idx="8">
                  <c:v>0.25</c:v>
                </c:pt>
                <c:pt idx="9">
                  <c:v>0.3</c:v>
                </c:pt>
                <c:pt idx="10">
                  <c:v>0.35</c:v>
                </c:pt>
                <c:pt idx="11">
                  <c:v>0.4</c:v>
                </c:pt>
                <c:pt idx="12">
                  <c:v>0.5</c:v>
                </c:pt>
                <c:pt idx="13">
                  <c:v>0.6</c:v>
                </c:pt>
              </c:numCache>
            </c:numRef>
          </c:xVal>
          <c:yVal>
            <c:numRef>
              <c:f>TimeValue_0!$X$19:$X$298</c:f>
              <c:numCache>
                <c:formatCode>General</c:formatCode>
                <c:ptCount val="14"/>
                <c:pt idx="0">
                  <c:v>0.50375415110389676</c:v>
                </c:pt>
                <c:pt idx="1">
                  <c:v>0.25937707555194839</c:v>
                </c:pt>
                <c:pt idx="2">
                  <c:v>0.12475083022077935</c:v>
                </c:pt>
                <c:pt idx="3">
                  <c:v>0.10234426888798709</c:v>
                </c:pt>
                <c:pt idx="4">
                  <c:v>9.9875415110389679E-2</c:v>
                </c:pt>
                <c:pt idx="5">
                  <c:v>0.10156284592532473</c:v>
                </c:pt>
                <c:pt idx="6">
                  <c:v>0.10825027674025978</c:v>
                </c:pt>
                <c:pt idx="7">
                  <c:v>0.12493770755519484</c:v>
                </c:pt>
                <c:pt idx="8">
                  <c:v>0.14495016604415586</c:v>
                </c:pt>
                <c:pt idx="9">
                  <c:v>0.16662513837012988</c:v>
                </c:pt>
                <c:pt idx="10">
                  <c:v>0.18925011860296848</c:v>
                </c:pt>
                <c:pt idx="11">
                  <c:v>0.21246885377759744</c:v>
                </c:pt>
                <c:pt idx="12">
                  <c:v>0.25997508302207795</c:v>
                </c:pt>
                <c:pt idx="13">
                  <c:v>0.30831256918506494</c:v>
                </c:pt>
              </c:numCache>
            </c:numRef>
          </c:yVal>
          <c:smooth val="0"/>
          <c:extLst>
            <c:ext xmlns:c16="http://schemas.microsoft.com/office/drawing/2014/chart" uri="{C3380CC4-5D6E-409C-BE32-E72D297353CC}">
              <c16:uniqueId val="{00000000-AE41-4163-9E12-F7511CDD1FFA}"/>
            </c:ext>
          </c:extLst>
        </c:ser>
        <c:dLbls>
          <c:showLegendKey val="0"/>
          <c:showVal val="0"/>
          <c:showCatName val="0"/>
          <c:showSerName val="0"/>
          <c:showPercent val="0"/>
          <c:showBubbleSize val="0"/>
        </c:dLbls>
        <c:axId val="184734848"/>
        <c:axId val="184736384"/>
      </c:scatterChart>
      <c:valAx>
        <c:axId val="184734848"/>
        <c:scaling>
          <c:orientation val="minMax"/>
        </c:scaling>
        <c:delete val="0"/>
        <c:axPos val="b"/>
        <c:numFmt formatCode="0%" sourceLinked="1"/>
        <c:majorTickMark val="out"/>
        <c:minorTickMark val="none"/>
        <c:tickLblPos val="nextTo"/>
        <c:crossAx val="184736384"/>
        <c:crosses val="autoZero"/>
        <c:crossBetween val="midCat"/>
      </c:valAx>
      <c:valAx>
        <c:axId val="184736384"/>
        <c:scaling>
          <c:orientation val="minMax"/>
        </c:scaling>
        <c:delete val="0"/>
        <c:axPos val="l"/>
        <c:majorGridlines/>
        <c:numFmt formatCode="General" sourceLinked="1"/>
        <c:majorTickMark val="out"/>
        <c:minorTickMark val="none"/>
        <c:tickLblPos val="nextTo"/>
        <c:crossAx val="18473484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strRef>
              <c:f>TimeValue_0!$X$18</c:f>
              <c:strCache>
                <c:ptCount val="1"/>
                <c:pt idx="0">
                  <c:v>d1=G+0.5*u</c:v>
                </c:pt>
              </c:strCache>
            </c:strRef>
          </c:tx>
          <c:spPr>
            <a:ln w="28575">
              <a:noFill/>
            </a:ln>
          </c:spPr>
          <c:xVal>
            <c:numRef>
              <c:f>TimeValue_0!$B$19:$B$298</c:f>
              <c:numCache>
                <c:formatCode>0.00%</c:formatCode>
                <c:ptCount val="14"/>
                <c:pt idx="0">
                  <c:v>5.0000000000000001E-3</c:v>
                </c:pt>
                <c:pt idx="1">
                  <c:v>5.0000000000000001E-3</c:v>
                </c:pt>
                <c:pt idx="2">
                  <c:v>5.0000000000000001E-3</c:v>
                </c:pt>
                <c:pt idx="3">
                  <c:v>5.0000000000000001E-3</c:v>
                </c:pt>
                <c:pt idx="4">
                  <c:v>5.0000000000000001E-3</c:v>
                </c:pt>
                <c:pt idx="5">
                  <c:v>5.0000000000000001E-3</c:v>
                </c:pt>
                <c:pt idx="6">
                  <c:v>5.0000000000000001E-3</c:v>
                </c:pt>
                <c:pt idx="7">
                  <c:v>5.0000000000000001E-3</c:v>
                </c:pt>
                <c:pt idx="8">
                  <c:v>5.0000000000000001E-3</c:v>
                </c:pt>
                <c:pt idx="9">
                  <c:v>5.0000000000000001E-3</c:v>
                </c:pt>
                <c:pt idx="10">
                  <c:v>5.0000000000000001E-3</c:v>
                </c:pt>
                <c:pt idx="11">
                  <c:v>5.0000000000000001E-3</c:v>
                </c:pt>
                <c:pt idx="12">
                  <c:v>5.0000000000000001E-3</c:v>
                </c:pt>
                <c:pt idx="13">
                  <c:v>5.0000000000000001E-3</c:v>
                </c:pt>
              </c:numCache>
            </c:numRef>
          </c:xVal>
          <c:yVal>
            <c:numRef>
              <c:f>TimeValue_0!$X$19:$X$298</c:f>
              <c:numCache>
                <c:formatCode>General</c:formatCode>
                <c:ptCount val="14"/>
                <c:pt idx="0">
                  <c:v>0.50375415110389676</c:v>
                </c:pt>
                <c:pt idx="1">
                  <c:v>0.25937707555194839</c:v>
                </c:pt>
                <c:pt idx="2">
                  <c:v>0.12475083022077935</c:v>
                </c:pt>
                <c:pt idx="3">
                  <c:v>0.10234426888798709</c:v>
                </c:pt>
                <c:pt idx="4">
                  <c:v>9.9875415110389679E-2</c:v>
                </c:pt>
                <c:pt idx="5">
                  <c:v>0.10156284592532473</c:v>
                </c:pt>
                <c:pt idx="6">
                  <c:v>0.10825027674025978</c:v>
                </c:pt>
                <c:pt idx="7">
                  <c:v>0.12493770755519484</c:v>
                </c:pt>
                <c:pt idx="8">
                  <c:v>0.14495016604415586</c:v>
                </c:pt>
                <c:pt idx="9">
                  <c:v>0.16662513837012988</c:v>
                </c:pt>
                <c:pt idx="10">
                  <c:v>0.18925011860296848</c:v>
                </c:pt>
                <c:pt idx="11">
                  <c:v>0.21246885377759744</c:v>
                </c:pt>
                <c:pt idx="12">
                  <c:v>0.25997508302207795</c:v>
                </c:pt>
                <c:pt idx="13">
                  <c:v>0.30831256918506494</c:v>
                </c:pt>
              </c:numCache>
            </c:numRef>
          </c:yVal>
          <c:smooth val="0"/>
          <c:extLst>
            <c:ext xmlns:c16="http://schemas.microsoft.com/office/drawing/2014/chart" uri="{C3380CC4-5D6E-409C-BE32-E72D297353CC}">
              <c16:uniqueId val="{00000000-3959-48DE-AACE-D1216E74D2DC}"/>
            </c:ext>
          </c:extLst>
        </c:ser>
        <c:dLbls>
          <c:showLegendKey val="0"/>
          <c:showVal val="0"/>
          <c:showCatName val="0"/>
          <c:showSerName val="0"/>
          <c:showPercent val="0"/>
          <c:showBubbleSize val="0"/>
        </c:dLbls>
        <c:axId val="184747520"/>
        <c:axId val="184749056"/>
      </c:scatterChart>
      <c:valAx>
        <c:axId val="184747520"/>
        <c:scaling>
          <c:orientation val="minMax"/>
        </c:scaling>
        <c:delete val="0"/>
        <c:axPos val="b"/>
        <c:numFmt formatCode="0.00%" sourceLinked="1"/>
        <c:majorTickMark val="out"/>
        <c:minorTickMark val="none"/>
        <c:tickLblPos val="nextTo"/>
        <c:crossAx val="184749056"/>
        <c:crosses val="autoZero"/>
        <c:crossBetween val="midCat"/>
      </c:valAx>
      <c:valAx>
        <c:axId val="184749056"/>
        <c:scaling>
          <c:orientation val="minMax"/>
        </c:scaling>
        <c:delete val="0"/>
        <c:axPos val="l"/>
        <c:majorGridlines/>
        <c:numFmt formatCode="General" sourceLinked="1"/>
        <c:majorTickMark val="out"/>
        <c:minorTickMark val="none"/>
        <c:tickLblPos val="nextTo"/>
        <c:crossAx val="184747520"/>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strRef>
              <c:f>TimeValue_0!$Y$18</c:f>
              <c:strCache>
                <c:ptCount val="1"/>
                <c:pt idx="0">
                  <c:v>N(d1)</c:v>
                </c:pt>
              </c:strCache>
            </c:strRef>
          </c:tx>
          <c:spPr>
            <a:ln w="28575">
              <a:noFill/>
            </a:ln>
          </c:spPr>
          <c:xVal>
            <c:numRef>
              <c:f>TimeValue_0!$X$19:$X$298</c:f>
              <c:numCache>
                <c:formatCode>General</c:formatCode>
                <c:ptCount val="14"/>
                <c:pt idx="0">
                  <c:v>0.50375415110389676</c:v>
                </c:pt>
                <c:pt idx="1">
                  <c:v>0.25937707555194839</c:v>
                </c:pt>
                <c:pt idx="2">
                  <c:v>0.12475083022077935</c:v>
                </c:pt>
                <c:pt idx="3">
                  <c:v>0.10234426888798709</c:v>
                </c:pt>
                <c:pt idx="4">
                  <c:v>9.9875415110389679E-2</c:v>
                </c:pt>
                <c:pt idx="5">
                  <c:v>0.10156284592532473</c:v>
                </c:pt>
                <c:pt idx="6">
                  <c:v>0.10825027674025978</c:v>
                </c:pt>
                <c:pt idx="7">
                  <c:v>0.12493770755519484</c:v>
                </c:pt>
                <c:pt idx="8">
                  <c:v>0.14495016604415586</c:v>
                </c:pt>
                <c:pt idx="9">
                  <c:v>0.16662513837012988</c:v>
                </c:pt>
                <c:pt idx="10">
                  <c:v>0.18925011860296848</c:v>
                </c:pt>
                <c:pt idx="11">
                  <c:v>0.21246885377759744</c:v>
                </c:pt>
                <c:pt idx="12">
                  <c:v>0.25997508302207795</c:v>
                </c:pt>
                <c:pt idx="13">
                  <c:v>0.30831256918506494</c:v>
                </c:pt>
              </c:numCache>
            </c:numRef>
          </c:xVal>
          <c:yVal>
            <c:numRef>
              <c:f>TimeValue_0!$Y$19:$Y$298</c:f>
              <c:numCache>
                <c:formatCode>General</c:formatCode>
                <c:ptCount val="14"/>
                <c:pt idx="0">
                  <c:v>0.69278292491326232</c:v>
                </c:pt>
                <c:pt idx="1">
                  <c:v>0.60232784216075586</c:v>
                </c:pt>
                <c:pt idx="2">
                  <c:v>0.54963959250606609</c:v>
                </c:pt>
                <c:pt idx="3">
                  <c:v>0.54075829086587246</c:v>
                </c:pt>
                <c:pt idx="4">
                  <c:v>0.53977838267978484</c:v>
                </c:pt>
                <c:pt idx="5">
                  <c:v>0.54044816422083297</c:v>
                </c:pt>
                <c:pt idx="6">
                  <c:v>0.54310141791859556</c:v>
                </c:pt>
                <c:pt idx="7">
                  <c:v>0.54971356703686358</c:v>
                </c:pt>
                <c:pt idx="8">
                  <c:v>0.55762489106483004</c:v>
                </c:pt>
                <c:pt idx="9">
                  <c:v>0.56616749367316477</c:v>
                </c:pt>
                <c:pt idx="10">
                  <c:v>0.57505160582179449</c:v>
                </c:pt>
                <c:pt idx="11">
                  <c:v>0.58412936292601547</c:v>
                </c:pt>
                <c:pt idx="12">
                  <c:v>0.60255850310663739</c:v>
                </c:pt>
                <c:pt idx="13">
                  <c:v>0.62107774861660081</c:v>
                </c:pt>
              </c:numCache>
            </c:numRef>
          </c:yVal>
          <c:smooth val="0"/>
          <c:extLst>
            <c:ext xmlns:c16="http://schemas.microsoft.com/office/drawing/2014/chart" uri="{C3380CC4-5D6E-409C-BE32-E72D297353CC}">
              <c16:uniqueId val="{00000000-B70F-4ABF-98EA-4EC725E8C46B}"/>
            </c:ext>
          </c:extLst>
        </c:ser>
        <c:dLbls>
          <c:showLegendKey val="0"/>
          <c:showVal val="0"/>
          <c:showCatName val="0"/>
          <c:showSerName val="0"/>
          <c:showPercent val="0"/>
          <c:showBubbleSize val="0"/>
        </c:dLbls>
        <c:axId val="184781824"/>
        <c:axId val="184795904"/>
      </c:scatterChart>
      <c:valAx>
        <c:axId val="184781824"/>
        <c:scaling>
          <c:orientation val="minMax"/>
        </c:scaling>
        <c:delete val="0"/>
        <c:axPos val="b"/>
        <c:numFmt formatCode="General" sourceLinked="1"/>
        <c:majorTickMark val="out"/>
        <c:minorTickMark val="none"/>
        <c:tickLblPos val="nextTo"/>
        <c:crossAx val="184795904"/>
        <c:crosses val="autoZero"/>
        <c:crossBetween val="midCat"/>
      </c:valAx>
      <c:valAx>
        <c:axId val="184795904"/>
        <c:scaling>
          <c:orientation val="minMax"/>
        </c:scaling>
        <c:delete val="0"/>
        <c:axPos val="l"/>
        <c:majorGridlines/>
        <c:numFmt formatCode="General" sourceLinked="1"/>
        <c:majorTickMark val="out"/>
        <c:minorTickMark val="none"/>
        <c:tickLblPos val="nextTo"/>
        <c:crossAx val="184781824"/>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TimeValue_0!$M$18</c:f>
              <c:strCache>
                <c:ptCount val="1"/>
                <c:pt idx="0">
                  <c:v>u-f(u)=u-{-ATMDistance(%)/ln(TimeValue(%)}</c:v>
                </c:pt>
              </c:strCache>
            </c:strRef>
          </c:tx>
          <c:spPr>
            <a:ln w="28575">
              <a:noFill/>
            </a:ln>
          </c:spPr>
          <c:trendline>
            <c:trendlineType val="poly"/>
            <c:order val="2"/>
            <c:intercept val="0"/>
            <c:dispRSqr val="1"/>
            <c:dispEq val="1"/>
            <c:trendlineLbl>
              <c:layout>
                <c:manualLayout>
                  <c:x val="-0.16952326960693179"/>
                  <c:y val="0.20195488222200073"/>
                </c:manualLayout>
              </c:layout>
              <c:numFmt formatCode="General" sourceLinked="0"/>
            </c:trendlineLbl>
          </c:trendline>
          <c:xVal>
            <c:numRef>
              <c:f>TimeValue_0!$A$19:$A$312</c:f>
              <c:numCache>
                <c:formatCode>0%</c:formatCode>
                <c:ptCount val="14"/>
                <c:pt idx="0">
                  <c:v>0.01</c:v>
                </c:pt>
                <c:pt idx="1">
                  <c:v>0.02</c:v>
                </c:pt>
                <c:pt idx="2">
                  <c:v>0.05</c:v>
                </c:pt>
                <c:pt idx="3">
                  <c:v>0.08</c:v>
                </c:pt>
                <c:pt idx="4">
                  <c:v>0.1</c:v>
                </c:pt>
                <c:pt idx="5">
                  <c:v>0.12</c:v>
                </c:pt>
                <c:pt idx="6">
                  <c:v>0.15</c:v>
                </c:pt>
                <c:pt idx="7">
                  <c:v>0.2</c:v>
                </c:pt>
                <c:pt idx="8">
                  <c:v>0.25</c:v>
                </c:pt>
                <c:pt idx="9">
                  <c:v>0.3</c:v>
                </c:pt>
                <c:pt idx="10">
                  <c:v>0.35</c:v>
                </c:pt>
                <c:pt idx="11">
                  <c:v>0.4</c:v>
                </c:pt>
                <c:pt idx="12">
                  <c:v>0.5</c:v>
                </c:pt>
                <c:pt idx="13">
                  <c:v>0.6</c:v>
                </c:pt>
              </c:numCache>
            </c:numRef>
          </c:xVal>
          <c:yVal>
            <c:numRef>
              <c:f>TimeValue_0!$M$19:$M$312</c:f>
              <c:numCache>
                <c:formatCode>0.000</c:formatCode>
                <c:ptCount val="14"/>
                <c:pt idx="0">
                  <c:v>-2.8279163215442103E-3</c:v>
                </c:pt>
                <c:pt idx="1">
                  <c:v>-4.7688784755999195E-3</c:v>
                </c:pt>
                <c:pt idx="2">
                  <c:v>-1.0162869552768634E-2</c:v>
                </c:pt>
                <c:pt idx="3">
                  <c:v>-1.5104247682332442E-2</c:v>
                </c:pt>
                <c:pt idx="4">
                  <c:v>-1.8262720316131659E-2</c:v>
                </c:pt>
                <c:pt idx="5">
                  <c:v>-2.1426045845946207E-2</c:v>
                </c:pt>
                <c:pt idx="6">
                  <c:v>-2.6456777878450105E-2</c:v>
                </c:pt>
                <c:pt idx="7">
                  <c:v>-3.6900686232522684E-2</c:v>
                </c:pt>
                <c:pt idx="8">
                  <c:v>-5.2293581993860389E-2</c:v>
                </c:pt>
                <c:pt idx="9">
                  <c:v>-7.5218980221338827E-2</c:v>
                </c:pt>
                <c:pt idx="10">
                  <c:v>-0.10738358680697432</c:v>
                </c:pt>
                <c:pt idx="11">
                  <c:v>-0.1491316048348329</c:v>
                </c:pt>
                <c:pt idx="12">
                  <c:v>-0.25657062713604883</c:v>
                </c:pt>
                <c:pt idx="13">
                  <c:v>-0.38270833421759387</c:v>
                </c:pt>
              </c:numCache>
            </c:numRef>
          </c:yVal>
          <c:smooth val="0"/>
          <c:extLst>
            <c:ext xmlns:c16="http://schemas.microsoft.com/office/drawing/2014/chart" uri="{C3380CC4-5D6E-409C-BE32-E72D297353CC}">
              <c16:uniqueId val="{00000000-2FC4-41B5-8E7C-E73B88EE53E3}"/>
            </c:ext>
          </c:extLst>
        </c:ser>
        <c:ser>
          <c:idx val="1"/>
          <c:order val="1"/>
          <c:tx>
            <c:strRef>
              <c:f>TimeValue_0!$R$18</c:f>
              <c:strCache>
                <c:ptCount val="1"/>
                <c:pt idx="0">
                  <c:v>a2*u^2</c:v>
                </c:pt>
              </c:strCache>
            </c:strRef>
          </c:tx>
          <c:spPr>
            <a:ln w="28575">
              <a:noFill/>
            </a:ln>
          </c:spPr>
          <c:xVal>
            <c:numRef>
              <c:f>TimeValue_0!$P$19:$P$312</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xVal>
          <c:yVal>
            <c:numRef>
              <c:f>TimeValue_0!$R$19:$R$312</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yVal>
          <c:smooth val="0"/>
          <c:extLst>
            <c:ext xmlns:c16="http://schemas.microsoft.com/office/drawing/2014/chart" uri="{C3380CC4-5D6E-409C-BE32-E72D297353CC}">
              <c16:uniqueId val="{00000001-2FC4-41B5-8E7C-E73B88EE53E3}"/>
            </c:ext>
          </c:extLst>
        </c:ser>
        <c:dLbls>
          <c:showLegendKey val="0"/>
          <c:showVal val="0"/>
          <c:showCatName val="0"/>
          <c:showSerName val="0"/>
          <c:showPercent val="0"/>
          <c:showBubbleSize val="0"/>
        </c:dLbls>
        <c:axId val="185481472"/>
        <c:axId val="185483264"/>
      </c:scatterChart>
      <c:valAx>
        <c:axId val="185481472"/>
        <c:scaling>
          <c:orientation val="minMax"/>
        </c:scaling>
        <c:delete val="0"/>
        <c:axPos val="b"/>
        <c:numFmt formatCode="0%" sourceLinked="1"/>
        <c:majorTickMark val="out"/>
        <c:minorTickMark val="none"/>
        <c:tickLblPos val="nextTo"/>
        <c:crossAx val="185483264"/>
        <c:crosses val="autoZero"/>
        <c:crossBetween val="midCat"/>
      </c:valAx>
      <c:valAx>
        <c:axId val="185483264"/>
        <c:scaling>
          <c:orientation val="minMax"/>
        </c:scaling>
        <c:delete val="0"/>
        <c:axPos val="l"/>
        <c:majorGridlines/>
        <c:numFmt formatCode="0.000" sourceLinked="1"/>
        <c:majorTickMark val="out"/>
        <c:minorTickMark val="none"/>
        <c:tickLblPos val="nextTo"/>
        <c:crossAx val="185481472"/>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smoothMarker"/>
        <c:varyColors val="0"/>
        <c:ser>
          <c:idx val="0"/>
          <c:order val="0"/>
          <c:tx>
            <c:strRef>
              <c:f>TimeValue_0!$F$332</c:f>
              <c:strCache>
                <c:ptCount val="1"/>
                <c:pt idx="0">
                  <c:v>-1/a2-0.5</c:v>
                </c:pt>
              </c:strCache>
            </c:strRef>
          </c:tx>
          <c:trendline>
            <c:trendlineType val="linear"/>
            <c:intercept val="0"/>
            <c:dispRSqr val="0"/>
            <c:dispEq val="1"/>
            <c:trendlineLbl>
              <c:numFmt formatCode="General" sourceLinked="0"/>
            </c:trendlineLbl>
          </c:trendline>
          <c:xVal>
            <c:numRef>
              <c:f>TimeValue_0!$B$333:$B$343</c:f>
              <c:numCache>
                <c:formatCode>0.00%</c:formatCode>
                <c:ptCount val="11"/>
                <c:pt idx="0">
                  <c:v>1E-3</c:v>
                </c:pt>
                <c:pt idx="1">
                  <c:v>2E-3</c:v>
                </c:pt>
                <c:pt idx="2">
                  <c:v>3.0000000000000001E-3</c:v>
                </c:pt>
                <c:pt idx="3">
                  <c:v>4.0000000000000001E-3</c:v>
                </c:pt>
                <c:pt idx="4">
                  <c:v>5.0000000000000001E-3</c:v>
                </c:pt>
                <c:pt idx="5">
                  <c:v>6.0000000000000001E-3</c:v>
                </c:pt>
                <c:pt idx="6">
                  <c:v>0.01</c:v>
                </c:pt>
                <c:pt idx="7">
                  <c:v>1.4999999999999999E-2</c:v>
                </c:pt>
                <c:pt idx="8">
                  <c:v>0.02</c:v>
                </c:pt>
                <c:pt idx="9">
                  <c:v>2.5000000000000001E-2</c:v>
                </c:pt>
                <c:pt idx="10">
                  <c:v>0.03</c:v>
                </c:pt>
              </c:numCache>
            </c:numRef>
          </c:xVal>
          <c:yVal>
            <c:numRef>
              <c:f>TimeValue_0!$F$333:$F$343</c:f>
              <c:numCache>
                <c:formatCode>General</c:formatCode>
                <c:ptCount val="11"/>
                <c:pt idx="0">
                  <c:v>0.11894130969959094</c:v>
                </c:pt>
                <c:pt idx="1">
                  <c:v>0.21837506778830373</c:v>
                </c:pt>
                <c:pt idx="2">
                  <c:v>0.30998139433164951</c:v>
                </c:pt>
                <c:pt idx="3">
                  <c:v>0.39740849712673287</c:v>
                </c:pt>
                <c:pt idx="4">
                  <c:v>0.48213713285131465</c:v>
                </c:pt>
                <c:pt idx="5">
                  <c:v>0.56491799828330214</c:v>
                </c:pt>
                <c:pt idx="6">
                  <c:v>0.8831356148382965</c:v>
                </c:pt>
                <c:pt idx="7">
                  <c:v>1.2612539503707894</c:v>
                </c:pt>
                <c:pt idx="8">
                  <c:v>1.6226422308308983</c:v>
                </c:pt>
                <c:pt idx="9">
                  <c:v>2.4691353771733371</c:v>
                </c:pt>
                <c:pt idx="10">
                  <c:v>2.801542605116834</c:v>
                </c:pt>
              </c:numCache>
            </c:numRef>
          </c:yVal>
          <c:smooth val="1"/>
          <c:extLst>
            <c:ext xmlns:c16="http://schemas.microsoft.com/office/drawing/2014/chart" uri="{C3380CC4-5D6E-409C-BE32-E72D297353CC}">
              <c16:uniqueId val="{00000000-13BF-40B5-8BC9-E6EB95075B59}"/>
            </c:ext>
          </c:extLst>
        </c:ser>
        <c:dLbls>
          <c:showLegendKey val="0"/>
          <c:showVal val="0"/>
          <c:showCatName val="0"/>
          <c:showSerName val="0"/>
          <c:showPercent val="0"/>
          <c:showBubbleSize val="0"/>
        </c:dLbls>
        <c:axId val="185508224"/>
        <c:axId val="185509760"/>
      </c:scatterChart>
      <c:valAx>
        <c:axId val="185508224"/>
        <c:scaling>
          <c:orientation val="minMax"/>
        </c:scaling>
        <c:delete val="0"/>
        <c:axPos val="b"/>
        <c:numFmt formatCode="0.00%" sourceLinked="1"/>
        <c:majorTickMark val="out"/>
        <c:minorTickMark val="none"/>
        <c:tickLblPos val="nextTo"/>
        <c:crossAx val="185509760"/>
        <c:crosses val="autoZero"/>
        <c:crossBetween val="midCat"/>
      </c:valAx>
      <c:valAx>
        <c:axId val="185509760"/>
        <c:scaling>
          <c:orientation val="minMax"/>
        </c:scaling>
        <c:delete val="0"/>
        <c:axPos val="l"/>
        <c:majorGridlines/>
        <c:numFmt formatCode="General" sourceLinked="1"/>
        <c:majorTickMark val="out"/>
        <c:minorTickMark val="none"/>
        <c:tickLblPos val="nextTo"/>
        <c:crossAx val="185508224"/>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manualLayout>
          <c:layoutTarget val="inner"/>
          <c:xMode val="edge"/>
          <c:yMode val="edge"/>
          <c:x val="0.15888049708072205"/>
          <c:y val="0.17698237247157986"/>
          <c:w val="0.77879077615298087"/>
          <c:h val="0.77631933232320727"/>
        </c:manualLayout>
      </c:layout>
      <c:scatterChart>
        <c:scatterStyle val="lineMarker"/>
        <c:varyColors val="0"/>
        <c:ser>
          <c:idx val="0"/>
          <c:order val="0"/>
          <c:tx>
            <c:strRef>
              <c:f>TimeValue_0!$T$18</c:f>
              <c:strCache>
                <c:ptCount val="1"/>
                <c:pt idx="0">
                  <c:v>f(u)-{u - a2*u^2}</c:v>
                </c:pt>
              </c:strCache>
            </c:strRef>
          </c:tx>
          <c:spPr>
            <a:ln w="28575">
              <a:noFill/>
            </a:ln>
          </c:spPr>
          <c:xVal>
            <c:numRef>
              <c:f>TimeValue_0!$A$19:$A$312</c:f>
              <c:numCache>
                <c:formatCode>0%</c:formatCode>
                <c:ptCount val="14"/>
                <c:pt idx="0">
                  <c:v>0.01</c:v>
                </c:pt>
                <c:pt idx="1">
                  <c:v>0.02</c:v>
                </c:pt>
                <c:pt idx="2">
                  <c:v>0.05</c:v>
                </c:pt>
                <c:pt idx="3">
                  <c:v>0.08</c:v>
                </c:pt>
                <c:pt idx="4">
                  <c:v>0.1</c:v>
                </c:pt>
                <c:pt idx="5">
                  <c:v>0.12</c:v>
                </c:pt>
                <c:pt idx="6">
                  <c:v>0.15</c:v>
                </c:pt>
                <c:pt idx="7">
                  <c:v>0.2</c:v>
                </c:pt>
                <c:pt idx="8">
                  <c:v>0.25</c:v>
                </c:pt>
                <c:pt idx="9">
                  <c:v>0.3</c:v>
                </c:pt>
                <c:pt idx="10">
                  <c:v>0.35</c:v>
                </c:pt>
                <c:pt idx="11">
                  <c:v>0.4</c:v>
                </c:pt>
                <c:pt idx="12">
                  <c:v>0.5</c:v>
                </c:pt>
                <c:pt idx="13">
                  <c:v>0.6</c:v>
                </c:pt>
              </c:numCache>
            </c:numRef>
          </c:xVal>
          <c:yVal>
            <c:numRef>
              <c:f>TimeValue_0!$T$19:$T$312</c:f>
              <c:numCache>
                <c:formatCode>0.0000</c:formatCode>
                <c:ptCount val="14"/>
                <c:pt idx="0">
                  <c:v>-2.7279163215442109E-3</c:v>
                </c:pt>
                <c:pt idx="1">
                  <c:v>-4.3688784755999185E-3</c:v>
                </c:pt>
                <c:pt idx="2">
                  <c:v>-7.6628695527686322E-3</c:v>
                </c:pt>
                <c:pt idx="3">
                  <c:v>-8.7042476823324388E-3</c:v>
                </c:pt>
                <c:pt idx="4">
                  <c:v>-8.2627203161316498E-3</c:v>
                </c:pt>
                <c:pt idx="5">
                  <c:v>-7.0260458459462105E-3</c:v>
                </c:pt>
                <c:pt idx="6">
                  <c:v>-3.9567778784501129E-3</c:v>
                </c:pt>
                <c:pt idx="7">
                  <c:v>3.0993137674773241E-3</c:v>
                </c:pt>
                <c:pt idx="8">
                  <c:v>1.0206418006139611E-2</c:v>
                </c:pt>
                <c:pt idx="9">
                  <c:v>1.478101977866117E-2</c:v>
                </c:pt>
                <c:pt idx="10">
                  <c:v>1.5116413193025674E-2</c:v>
                </c:pt>
                <c:pt idx="11">
                  <c:v>1.0868395165167133E-2</c:v>
                </c:pt>
                <c:pt idx="12">
                  <c:v>-6.5706271360488067E-3</c:v>
                </c:pt>
                <c:pt idx="13">
                  <c:v>-2.2708334217593856E-2</c:v>
                </c:pt>
              </c:numCache>
            </c:numRef>
          </c:yVal>
          <c:smooth val="0"/>
          <c:extLst>
            <c:ext xmlns:c16="http://schemas.microsoft.com/office/drawing/2014/chart" uri="{C3380CC4-5D6E-409C-BE32-E72D297353CC}">
              <c16:uniqueId val="{00000000-3966-47D7-9ECD-4E20DBBBA009}"/>
            </c:ext>
          </c:extLst>
        </c:ser>
        <c:dLbls>
          <c:showLegendKey val="0"/>
          <c:showVal val="0"/>
          <c:showCatName val="0"/>
          <c:showSerName val="0"/>
          <c:showPercent val="0"/>
          <c:showBubbleSize val="0"/>
        </c:dLbls>
        <c:axId val="185542144"/>
        <c:axId val="185543680"/>
      </c:scatterChart>
      <c:valAx>
        <c:axId val="185542144"/>
        <c:scaling>
          <c:orientation val="minMax"/>
        </c:scaling>
        <c:delete val="0"/>
        <c:axPos val="b"/>
        <c:numFmt formatCode="0%" sourceLinked="1"/>
        <c:majorTickMark val="out"/>
        <c:minorTickMark val="none"/>
        <c:tickLblPos val="nextTo"/>
        <c:crossAx val="185543680"/>
        <c:crosses val="autoZero"/>
        <c:crossBetween val="midCat"/>
      </c:valAx>
      <c:valAx>
        <c:axId val="185543680"/>
        <c:scaling>
          <c:orientation val="minMax"/>
        </c:scaling>
        <c:delete val="0"/>
        <c:axPos val="l"/>
        <c:majorGridlines/>
        <c:numFmt formatCode="0.0000" sourceLinked="1"/>
        <c:majorTickMark val="out"/>
        <c:minorTickMark val="none"/>
        <c:tickLblPos val="nextTo"/>
        <c:crossAx val="185542144"/>
        <c:crosses val="autoZero"/>
        <c:crossBetween val="midCat"/>
      </c:valAx>
    </c:plotArea>
    <c:legend>
      <c:legendPos val="r"/>
      <c:layout>
        <c:manualLayout>
          <c:xMode val="edge"/>
          <c:yMode val="edge"/>
          <c:x val="0.1813616155123467"/>
          <c:y val="0.22427349578148162"/>
          <c:w val="0.28462477904547645"/>
          <c:h val="7.6058521076032684E-2"/>
        </c:manualLayout>
      </c:layout>
      <c:overlay val="0"/>
    </c:legend>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7" Type="http://schemas.openxmlformats.org/officeDocument/2006/relationships/chart" Target="../charts/chart9.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5" Type="http://schemas.openxmlformats.org/officeDocument/2006/relationships/chart" Target="../charts/chart14.xml"/><Relationship Id="rId4"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 Id="rId5" Type="http://schemas.openxmlformats.org/officeDocument/2006/relationships/chart" Target="../charts/chart19.xml"/><Relationship Id="rId4" Type="http://schemas.openxmlformats.org/officeDocument/2006/relationships/chart" Target="../charts/chart18.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8.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chart" Target="../charts/chart2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6.xml"/></Relationships>
</file>

<file path=xl/drawings/_rels/vmlDrawing11.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12.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12</xdr:col>
      <xdr:colOff>609599</xdr:colOff>
      <xdr:row>1</xdr:row>
      <xdr:rowOff>0</xdr:rowOff>
    </xdr:from>
    <xdr:to>
      <xdr:col>21</xdr:col>
      <xdr:colOff>114300</xdr:colOff>
      <xdr:row>13</xdr:row>
      <xdr:rowOff>142876</xdr:rowOff>
    </xdr:to>
    <xdr:graphicFrame macro="">
      <xdr:nvGraphicFramePr>
        <xdr:cNvPr id="5" name="Chart 4">
          <a:extLst>
            <a:ext uri="{FF2B5EF4-FFF2-40B4-BE49-F238E27FC236}">
              <a16:creationId xmlns:a16="http://schemas.microsoft.com/office/drawing/2014/main" id="{00000000-0008-0000-0A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1</xdr:row>
      <xdr:rowOff>0</xdr:rowOff>
    </xdr:from>
    <xdr:to>
      <xdr:col>12</xdr:col>
      <xdr:colOff>133350</xdr:colOff>
      <xdr:row>13</xdr:row>
      <xdr:rowOff>38100</xdr:rowOff>
    </xdr:to>
    <xdr:graphicFrame macro="">
      <xdr:nvGraphicFramePr>
        <xdr:cNvPr id="6" name="Chart 5">
          <a:extLst>
            <a:ext uri="{FF2B5EF4-FFF2-40B4-BE49-F238E27FC236}">
              <a16:creationId xmlns:a16="http://schemas.microsoft.com/office/drawing/2014/main" id="{00000000-0008-0000-0A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33337</xdr:colOff>
      <xdr:row>0</xdr:row>
      <xdr:rowOff>6</xdr:rowOff>
    </xdr:from>
    <xdr:to>
      <xdr:col>10</xdr:col>
      <xdr:colOff>228600</xdr:colOff>
      <xdr:row>13</xdr:row>
      <xdr:rowOff>180975</xdr:rowOff>
    </xdr:to>
    <xdr:graphicFrame macro="">
      <xdr:nvGraphicFramePr>
        <xdr:cNvPr id="16" name="Chart 15">
          <a:extLst>
            <a:ext uri="{FF2B5EF4-FFF2-40B4-BE49-F238E27FC236}">
              <a16:creationId xmlns:a16="http://schemas.microsoft.com/office/drawing/2014/main" id="{00000000-0008-0000-0D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442912</xdr:colOff>
      <xdr:row>0</xdr:row>
      <xdr:rowOff>1</xdr:rowOff>
    </xdr:from>
    <xdr:to>
      <xdr:col>28</xdr:col>
      <xdr:colOff>390525</xdr:colOff>
      <xdr:row>16</xdr:row>
      <xdr:rowOff>152401</xdr:rowOff>
    </xdr:to>
    <xdr:graphicFrame macro="">
      <xdr:nvGraphicFramePr>
        <xdr:cNvPr id="4" name="Chart 3">
          <a:extLst>
            <a:ext uri="{FF2B5EF4-FFF2-40B4-BE49-F238E27FC236}">
              <a16:creationId xmlns:a16="http://schemas.microsoft.com/office/drawing/2014/main" id="{00000000-0008-0000-0D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0</xdr:colOff>
      <xdr:row>0</xdr:row>
      <xdr:rowOff>1</xdr:rowOff>
    </xdr:from>
    <xdr:to>
      <xdr:col>36</xdr:col>
      <xdr:colOff>200025</xdr:colOff>
      <xdr:row>16</xdr:row>
      <xdr:rowOff>133351</xdr:rowOff>
    </xdr:to>
    <xdr:graphicFrame macro="">
      <xdr:nvGraphicFramePr>
        <xdr:cNvPr id="6" name="Chart 5">
          <a:extLst>
            <a:ext uri="{FF2B5EF4-FFF2-40B4-BE49-F238E27FC236}">
              <a16:creationId xmlns:a16="http://schemas.microsoft.com/office/drawing/2014/main" id="{00000000-0008-0000-0D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37</xdr:col>
      <xdr:colOff>0</xdr:colOff>
      <xdr:row>0</xdr:row>
      <xdr:rowOff>0</xdr:rowOff>
    </xdr:from>
    <xdr:to>
      <xdr:col>47</xdr:col>
      <xdr:colOff>42863</xdr:colOff>
      <xdr:row>16</xdr:row>
      <xdr:rowOff>66669</xdr:rowOff>
    </xdr:to>
    <xdr:graphicFrame macro="">
      <xdr:nvGraphicFramePr>
        <xdr:cNvPr id="7" name="Chart 6">
          <a:extLst>
            <a:ext uri="{FF2B5EF4-FFF2-40B4-BE49-F238E27FC236}">
              <a16:creationId xmlns:a16="http://schemas.microsoft.com/office/drawing/2014/main" id="{00000000-0008-0000-0D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681037</xdr:colOff>
      <xdr:row>332</xdr:row>
      <xdr:rowOff>19050</xdr:rowOff>
    </xdr:from>
    <xdr:to>
      <xdr:col>12</xdr:col>
      <xdr:colOff>533400</xdr:colOff>
      <xdr:row>343</xdr:row>
      <xdr:rowOff>180975</xdr:rowOff>
    </xdr:to>
    <xdr:graphicFrame macro="">
      <xdr:nvGraphicFramePr>
        <xdr:cNvPr id="2" name="Chart 1">
          <a:extLst>
            <a:ext uri="{FF2B5EF4-FFF2-40B4-BE49-F238E27FC236}">
              <a16:creationId xmlns:a16="http://schemas.microsoft.com/office/drawing/2014/main" id="{00000000-0008-0000-0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200025</xdr:colOff>
      <xdr:row>344</xdr:row>
      <xdr:rowOff>114300</xdr:rowOff>
    </xdr:from>
    <xdr:to>
      <xdr:col>12</xdr:col>
      <xdr:colOff>438150</xdr:colOff>
      <xdr:row>369</xdr:row>
      <xdr:rowOff>180975</xdr:rowOff>
    </xdr:to>
    <xdr:graphicFrame macro="">
      <xdr:nvGraphicFramePr>
        <xdr:cNvPr id="9" name="Chart 8">
          <a:extLst>
            <a:ext uri="{FF2B5EF4-FFF2-40B4-BE49-F238E27FC236}">
              <a16:creationId xmlns:a16="http://schemas.microsoft.com/office/drawing/2014/main" id="{00000000-0008-0000-0D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581025</xdr:colOff>
      <xdr:row>0</xdr:row>
      <xdr:rowOff>133350</xdr:rowOff>
    </xdr:from>
    <xdr:to>
      <xdr:col>10</xdr:col>
      <xdr:colOff>1647825</xdr:colOff>
      <xdr:row>16</xdr:row>
      <xdr:rowOff>104775</xdr:rowOff>
    </xdr:to>
    <xdr:graphicFrame macro="">
      <xdr:nvGraphicFramePr>
        <xdr:cNvPr id="12" name="Chart 11">
          <a:extLst>
            <a:ext uri="{FF2B5EF4-FFF2-40B4-BE49-F238E27FC236}">
              <a16:creationId xmlns:a16="http://schemas.microsoft.com/office/drawing/2014/main" id="{00000000-0008-0000-0D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209549</xdr:colOff>
      <xdr:row>16</xdr:row>
      <xdr:rowOff>71436</xdr:rowOff>
    </xdr:from>
    <xdr:to>
      <xdr:col>9</xdr:col>
      <xdr:colOff>219074</xdr:colOff>
      <xdr:row>36</xdr:row>
      <xdr:rowOff>76199</xdr:rowOff>
    </xdr:to>
    <xdr:graphicFrame macro="">
      <xdr:nvGraphicFramePr>
        <xdr:cNvPr id="2" name="Chart 1">
          <a:extLst>
            <a:ext uri="{FF2B5EF4-FFF2-40B4-BE49-F238E27FC236}">
              <a16:creationId xmlns:a16="http://schemas.microsoft.com/office/drawing/2014/main" id="{00000000-0008-0000-0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57150</xdr:colOff>
      <xdr:row>16</xdr:row>
      <xdr:rowOff>28575</xdr:rowOff>
    </xdr:from>
    <xdr:to>
      <xdr:col>20</xdr:col>
      <xdr:colOff>104775</xdr:colOff>
      <xdr:row>36</xdr:row>
      <xdr:rowOff>33338</xdr:rowOff>
    </xdr:to>
    <xdr:graphicFrame macro="">
      <xdr:nvGraphicFramePr>
        <xdr:cNvPr id="3" name="Chart 2">
          <a:extLst>
            <a:ext uri="{FF2B5EF4-FFF2-40B4-BE49-F238E27FC236}">
              <a16:creationId xmlns:a16="http://schemas.microsoft.com/office/drawing/2014/main" id="{00000000-0008-0000-0E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66675</xdr:colOff>
      <xdr:row>4</xdr:row>
      <xdr:rowOff>152400</xdr:rowOff>
    </xdr:from>
    <xdr:to>
      <xdr:col>28</xdr:col>
      <xdr:colOff>371475</xdr:colOff>
      <xdr:row>19</xdr:row>
      <xdr:rowOff>38100</xdr:rowOff>
    </xdr:to>
    <xdr:graphicFrame macro="">
      <xdr:nvGraphicFramePr>
        <xdr:cNvPr id="4" name="Chart 3">
          <a:extLst>
            <a:ext uri="{FF2B5EF4-FFF2-40B4-BE49-F238E27FC236}">
              <a16:creationId xmlns:a16="http://schemas.microsoft.com/office/drawing/2014/main" id="{00000000-0008-0000-0E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87</xdr:row>
      <xdr:rowOff>0</xdr:rowOff>
    </xdr:from>
    <xdr:to>
      <xdr:col>6</xdr:col>
      <xdr:colOff>342900</xdr:colOff>
      <xdr:row>106</xdr:row>
      <xdr:rowOff>66676</xdr:rowOff>
    </xdr:to>
    <xdr:graphicFrame macro="">
      <xdr:nvGraphicFramePr>
        <xdr:cNvPr id="5" name="Chart 4">
          <a:extLst>
            <a:ext uri="{FF2B5EF4-FFF2-40B4-BE49-F238E27FC236}">
              <a16:creationId xmlns:a16="http://schemas.microsoft.com/office/drawing/2014/main" id="{00000000-0008-0000-0E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247650</xdr:colOff>
      <xdr:row>67</xdr:row>
      <xdr:rowOff>42862</xdr:rowOff>
    </xdr:from>
    <xdr:to>
      <xdr:col>6</xdr:col>
      <xdr:colOff>152400</xdr:colOff>
      <xdr:row>81</xdr:row>
      <xdr:rowOff>119062</xdr:rowOff>
    </xdr:to>
    <xdr:graphicFrame macro="">
      <xdr:nvGraphicFramePr>
        <xdr:cNvPr id="6" name="Chart 5">
          <a:extLst>
            <a:ext uri="{FF2B5EF4-FFF2-40B4-BE49-F238E27FC236}">
              <a16:creationId xmlns:a16="http://schemas.microsoft.com/office/drawing/2014/main" id="{00000000-0008-0000-0E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22</xdr:col>
      <xdr:colOff>95250</xdr:colOff>
      <xdr:row>3</xdr:row>
      <xdr:rowOff>76200</xdr:rowOff>
    </xdr:from>
    <xdr:to>
      <xdr:col>29</xdr:col>
      <xdr:colOff>400050</xdr:colOff>
      <xdr:row>17</xdr:row>
      <xdr:rowOff>152400</xdr:rowOff>
    </xdr:to>
    <xdr:graphicFrame macro="">
      <xdr:nvGraphicFramePr>
        <xdr:cNvPr id="4" name="Chart 3">
          <a:extLst>
            <a:ext uri="{FF2B5EF4-FFF2-40B4-BE49-F238E27FC236}">
              <a16:creationId xmlns:a16="http://schemas.microsoft.com/office/drawing/2014/main" id="{00000000-0008-0000-0F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419100</xdr:colOff>
      <xdr:row>7</xdr:row>
      <xdr:rowOff>4762</xdr:rowOff>
    </xdr:from>
    <xdr:to>
      <xdr:col>11</xdr:col>
      <xdr:colOff>561975</xdr:colOff>
      <xdr:row>21</xdr:row>
      <xdr:rowOff>80962</xdr:rowOff>
    </xdr:to>
    <xdr:graphicFrame macro="">
      <xdr:nvGraphicFramePr>
        <xdr:cNvPr id="6" name="Chart 5">
          <a:extLst>
            <a:ext uri="{FF2B5EF4-FFF2-40B4-BE49-F238E27FC236}">
              <a16:creationId xmlns:a16="http://schemas.microsoft.com/office/drawing/2014/main" id="{00000000-0008-0000-0F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180974</xdr:colOff>
      <xdr:row>86</xdr:row>
      <xdr:rowOff>61911</xdr:rowOff>
    </xdr:from>
    <xdr:to>
      <xdr:col>16</xdr:col>
      <xdr:colOff>276225</xdr:colOff>
      <xdr:row>105</xdr:row>
      <xdr:rowOff>180974</xdr:rowOff>
    </xdr:to>
    <xdr:graphicFrame macro="">
      <xdr:nvGraphicFramePr>
        <xdr:cNvPr id="10" name="Chart 9">
          <a:extLst>
            <a:ext uri="{FF2B5EF4-FFF2-40B4-BE49-F238E27FC236}">
              <a16:creationId xmlns:a16="http://schemas.microsoft.com/office/drawing/2014/main" id="{00000000-0008-0000-0F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163168</xdr:colOff>
      <xdr:row>107</xdr:row>
      <xdr:rowOff>58392</xdr:rowOff>
    </xdr:from>
    <xdr:to>
      <xdr:col>16</xdr:col>
      <xdr:colOff>161925</xdr:colOff>
      <xdr:row>126</xdr:row>
      <xdr:rowOff>57150</xdr:rowOff>
    </xdr:to>
    <xdr:graphicFrame macro="">
      <xdr:nvGraphicFramePr>
        <xdr:cNvPr id="11" name="Chart 10">
          <a:extLst>
            <a:ext uri="{FF2B5EF4-FFF2-40B4-BE49-F238E27FC236}">
              <a16:creationId xmlns:a16="http://schemas.microsoft.com/office/drawing/2014/main" id="{00000000-0008-0000-0F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523875</xdr:colOff>
      <xdr:row>54</xdr:row>
      <xdr:rowOff>52387</xdr:rowOff>
    </xdr:from>
    <xdr:to>
      <xdr:col>9</xdr:col>
      <xdr:colOff>390525</xdr:colOff>
      <xdr:row>68</xdr:row>
      <xdr:rowOff>128587</xdr:rowOff>
    </xdr:to>
    <xdr:graphicFrame macro="">
      <xdr:nvGraphicFramePr>
        <xdr:cNvPr id="12" name="Chart 11">
          <a:extLst>
            <a:ext uri="{FF2B5EF4-FFF2-40B4-BE49-F238E27FC236}">
              <a16:creationId xmlns:a16="http://schemas.microsoft.com/office/drawing/2014/main" id="{00000000-0008-0000-0F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16</xdr:col>
      <xdr:colOff>361950</xdr:colOff>
      <xdr:row>2</xdr:row>
      <xdr:rowOff>9525</xdr:rowOff>
    </xdr:from>
    <xdr:to>
      <xdr:col>20</xdr:col>
      <xdr:colOff>104503</xdr:colOff>
      <xdr:row>11</xdr:row>
      <xdr:rowOff>180739</xdr:rowOff>
    </xdr:to>
    <xdr:pic>
      <xdr:nvPicPr>
        <xdr:cNvPr id="3" name="Picture 2">
          <a:extLst>
            <a:ext uri="{FF2B5EF4-FFF2-40B4-BE49-F238E27FC236}">
              <a16:creationId xmlns:a16="http://schemas.microsoft.com/office/drawing/2014/main" id="{00000000-0008-0000-1000-000003000000}"/>
            </a:ext>
          </a:extLst>
        </xdr:cNvPr>
        <xdr:cNvPicPr>
          <a:picLocks noChangeAspect="1"/>
        </xdr:cNvPicPr>
      </xdr:nvPicPr>
      <xdr:blipFill>
        <a:blip xmlns:r="http://schemas.openxmlformats.org/officeDocument/2006/relationships" r:embed="rId1"/>
        <a:stretch>
          <a:fillRect/>
        </a:stretch>
      </xdr:blipFill>
      <xdr:spPr>
        <a:xfrm>
          <a:off x="10906125" y="390525"/>
          <a:ext cx="2180953" cy="1885714"/>
        </a:xfrm>
        <a:prstGeom prst="rect">
          <a:avLst/>
        </a:prstGeom>
      </xdr:spPr>
    </xdr:pic>
    <xdr:clientData/>
  </xdr:twoCellAnchor>
  <xdr:twoCellAnchor editAs="oneCell">
    <xdr:from>
      <xdr:col>7</xdr:col>
      <xdr:colOff>600075</xdr:colOff>
      <xdr:row>2</xdr:row>
      <xdr:rowOff>0</xdr:rowOff>
    </xdr:from>
    <xdr:to>
      <xdr:col>16</xdr:col>
      <xdr:colOff>418437</xdr:colOff>
      <xdr:row>18</xdr:row>
      <xdr:rowOff>190095</xdr:rowOff>
    </xdr:to>
    <xdr:pic>
      <xdr:nvPicPr>
        <xdr:cNvPr id="4" name="Picture 3">
          <a:extLst>
            <a:ext uri="{FF2B5EF4-FFF2-40B4-BE49-F238E27FC236}">
              <a16:creationId xmlns:a16="http://schemas.microsoft.com/office/drawing/2014/main" id="{00000000-0008-0000-1000-000004000000}"/>
            </a:ext>
          </a:extLst>
        </xdr:cNvPr>
        <xdr:cNvPicPr>
          <a:picLocks noChangeAspect="1"/>
        </xdr:cNvPicPr>
      </xdr:nvPicPr>
      <xdr:blipFill>
        <a:blip xmlns:r="http://schemas.openxmlformats.org/officeDocument/2006/relationships" r:embed="rId2"/>
        <a:stretch>
          <a:fillRect/>
        </a:stretch>
      </xdr:blipFill>
      <xdr:spPr>
        <a:xfrm>
          <a:off x="8877300" y="381000"/>
          <a:ext cx="5304762" cy="3238095"/>
        </a:xfrm>
        <a:prstGeom prst="rect">
          <a:avLst/>
        </a:prstGeom>
      </xdr:spPr>
    </xdr:pic>
    <xdr:clientData/>
  </xdr:twoCellAnchor>
  <xdr:twoCellAnchor>
    <xdr:from>
      <xdr:col>7</xdr:col>
      <xdr:colOff>238125</xdr:colOff>
      <xdr:row>19</xdr:row>
      <xdr:rowOff>119062</xdr:rowOff>
    </xdr:from>
    <xdr:to>
      <xdr:col>14</xdr:col>
      <xdr:colOff>542925</xdr:colOff>
      <xdr:row>34</xdr:row>
      <xdr:rowOff>4762</xdr:rowOff>
    </xdr:to>
    <xdr:graphicFrame macro="">
      <xdr:nvGraphicFramePr>
        <xdr:cNvPr id="6" name="Chart 5">
          <a:extLst>
            <a:ext uri="{FF2B5EF4-FFF2-40B4-BE49-F238E27FC236}">
              <a16:creationId xmlns:a16="http://schemas.microsoft.com/office/drawing/2014/main" id="{00000000-0008-0000-1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1041400</xdr:colOff>
          <xdr:row>8</xdr:row>
          <xdr:rowOff>184150</xdr:rowOff>
        </xdr:from>
        <xdr:to>
          <xdr:col>2</xdr:col>
          <xdr:colOff>4864100</xdr:colOff>
          <xdr:row>10</xdr:row>
          <xdr:rowOff>12700</xdr:rowOff>
        </xdr:to>
        <xdr:sp macro="" textlink="">
          <xdr:nvSpPr>
            <xdr:cNvPr id="11265" name="ComboBox21" hidden="1">
              <a:extLst>
                <a:ext uri="{63B3BB69-23CF-44E3-9099-C40C66FF867C}">
                  <a14:compatExt spid="_x0000_s11265"/>
                </a:ext>
                <a:ext uri="{FF2B5EF4-FFF2-40B4-BE49-F238E27FC236}">
                  <a16:creationId xmlns:a16="http://schemas.microsoft.com/office/drawing/2014/main" id="{00000000-0008-0000-1100-0000012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xdr:from>
      <xdr:col>9</xdr:col>
      <xdr:colOff>590550</xdr:colOff>
      <xdr:row>3</xdr:row>
      <xdr:rowOff>90487</xdr:rowOff>
    </xdr:from>
    <xdr:to>
      <xdr:col>17</xdr:col>
      <xdr:colOff>285750</xdr:colOff>
      <xdr:row>17</xdr:row>
      <xdr:rowOff>166687</xdr:rowOff>
    </xdr:to>
    <xdr:graphicFrame macro="">
      <xdr:nvGraphicFramePr>
        <xdr:cNvPr id="2" name="Chart 1">
          <a:extLst>
            <a:ext uri="{FF2B5EF4-FFF2-40B4-BE49-F238E27FC236}">
              <a16:creationId xmlns:a16="http://schemas.microsoft.com/office/drawing/2014/main" id="{00000000-0008-0000-1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25400</xdr:colOff>
      <xdr:row>19</xdr:row>
      <xdr:rowOff>7937</xdr:rowOff>
    </xdr:from>
    <xdr:to>
      <xdr:col>17</xdr:col>
      <xdr:colOff>330200</xdr:colOff>
      <xdr:row>33</xdr:row>
      <xdr:rowOff>77787</xdr:rowOff>
    </xdr:to>
    <xdr:graphicFrame macro="">
      <xdr:nvGraphicFramePr>
        <xdr:cNvPr id="5" name="Chart 4">
          <a:extLst>
            <a:ext uri="{FF2B5EF4-FFF2-40B4-BE49-F238E27FC236}">
              <a16:creationId xmlns:a16="http://schemas.microsoft.com/office/drawing/2014/main" id="{00000000-0008-0000-1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104774</xdr:colOff>
      <xdr:row>1</xdr:row>
      <xdr:rowOff>23811</xdr:rowOff>
    </xdr:from>
    <xdr:to>
      <xdr:col>12</xdr:col>
      <xdr:colOff>133349</xdr:colOff>
      <xdr:row>20</xdr:row>
      <xdr:rowOff>180974</xdr:rowOff>
    </xdr:to>
    <xdr:graphicFrame macro="">
      <xdr:nvGraphicFramePr>
        <xdr:cNvPr id="2" name="Chart 1">
          <a:extLst>
            <a:ext uri="{FF2B5EF4-FFF2-40B4-BE49-F238E27FC236}">
              <a16:creationId xmlns:a16="http://schemas.microsoft.com/office/drawing/2014/main" id="{00000000-0008-0000-1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403224</xdr:colOff>
      <xdr:row>1</xdr:row>
      <xdr:rowOff>82550</xdr:rowOff>
    </xdr:from>
    <xdr:to>
      <xdr:col>31</xdr:col>
      <xdr:colOff>279399</xdr:colOff>
      <xdr:row>19</xdr:row>
      <xdr:rowOff>82550</xdr:rowOff>
    </xdr:to>
    <xdr:graphicFrame macro="">
      <xdr:nvGraphicFramePr>
        <xdr:cNvPr id="3" name="Chart 2">
          <a:extLst>
            <a:ext uri="{FF2B5EF4-FFF2-40B4-BE49-F238E27FC236}">
              <a16:creationId xmlns:a16="http://schemas.microsoft.com/office/drawing/2014/main" id="{00000000-0008-0000-1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403224</xdr:colOff>
      <xdr:row>20</xdr:row>
      <xdr:rowOff>69850</xdr:rowOff>
    </xdr:from>
    <xdr:to>
      <xdr:col>30</xdr:col>
      <xdr:colOff>596899</xdr:colOff>
      <xdr:row>37</xdr:row>
      <xdr:rowOff>25656</xdr:rowOff>
    </xdr:to>
    <xdr:graphicFrame macro="">
      <xdr:nvGraphicFramePr>
        <xdr:cNvPr id="4" name="Chart 3">
          <a:extLst>
            <a:ext uri="{FF2B5EF4-FFF2-40B4-BE49-F238E27FC236}">
              <a16:creationId xmlns:a16="http://schemas.microsoft.com/office/drawing/2014/main" id="{00000000-0008-0000-1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18</xdr:row>
          <xdr:rowOff>0</xdr:rowOff>
        </xdr:from>
        <xdr:to>
          <xdr:col>0</xdr:col>
          <xdr:colOff>209550</xdr:colOff>
          <xdr:row>19</xdr:row>
          <xdr:rowOff>50800</xdr:rowOff>
        </xdr:to>
        <xdr:sp macro="" textlink="">
          <xdr:nvSpPr>
            <xdr:cNvPr id="59393" name="Control 1" hidden="1">
              <a:extLst>
                <a:ext uri="{63B3BB69-23CF-44E3-9099-C40C66FF867C}">
                  <a14:compatExt spid="_x0000_s59393"/>
                </a:ext>
                <a:ext uri="{FF2B5EF4-FFF2-40B4-BE49-F238E27FC236}">
                  <a16:creationId xmlns:a16="http://schemas.microsoft.com/office/drawing/2014/main" id="{00000000-0008-0000-1600-000001E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18</xdr:row>
          <xdr:rowOff>0</xdr:rowOff>
        </xdr:from>
        <xdr:to>
          <xdr:col>1</xdr:col>
          <xdr:colOff>209550</xdr:colOff>
          <xdr:row>19</xdr:row>
          <xdr:rowOff>50800</xdr:rowOff>
        </xdr:to>
        <xdr:sp macro="" textlink="">
          <xdr:nvSpPr>
            <xdr:cNvPr id="59394" name="Control 2" hidden="1">
              <a:extLst>
                <a:ext uri="{63B3BB69-23CF-44E3-9099-C40C66FF867C}">
                  <a14:compatExt spid="_x0000_s59394"/>
                </a:ext>
                <a:ext uri="{FF2B5EF4-FFF2-40B4-BE49-F238E27FC236}">
                  <a16:creationId xmlns:a16="http://schemas.microsoft.com/office/drawing/2014/main" id="{00000000-0008-0000-1600-000002E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18</xdr:row>
          <xdr:rowOff>0</xdr:rowOff>
        </xdr:from>
        <xdr:to>
          <xdr:col>1</xdr:col>
          <xdr:colOff>209550</xdr:colOff>
          <xdr:row>19</xdr:row>
          <xdr:rowOff>50800</xdr:rowOff>
        </xdr:to>
        <xdr:sp macro="" textlink="">
          <xdr:nvSpPr>
            <xdr:cNvPr id="59395" name="Control 3" hidden="1">
              <a:extLst>
                <a:ext uri="{63B3BB69-23CF-44E3-9099-C40C66FF867C}">
                  <a14:compatExt spid="_x0000_s59395"/>
                </a:ext>
                <a:ext uri="{FF2B5EF4-FFF2-40B4-BE49-F238E27FC236}">
                  <a16:creationId xmlns:a16="http://schemas.microsoft.com/office/drawing/2014/main" id="{00000000-0008-0000-1600-000003E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18</xdr:row>
          <xdr:rowOff>0</xdr:rowOff>
        </xdr:from>
        <xdr:to>
          <xdr:col>1</xdr:col>
          <xdr:colOff>209550</xdr:colOff>
          <xdr:row>19</xdr:row>
          <xdr:rowOff>50800</xdr:rowOff>
        </xdr:to>
        <xdr:sp macro="" textlink="">
          <xdr:nvSpPr>
            <xdr:cNvPr id="59396" name="Control 4" hidden="1">
              <a:extLst>
                <a:ext uri="{63B3BB69-23CF-44E3-9099-C40C66FF867C}">
                  <a14:compatExt spid="_x0000_s59396"/>
                </a:ext>
                <a:ext uri="{FF2B5EF4-FFF2-40B4-BE49-F238E27FC236}">
                  <a16:creationId xmlns:a16="http://schemas.microsoft.com/office/drawing/2014/main" id="{00000000-0008-0000-1600-000004E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18</xdr:row>
          <xdr:rowOff>0</xdr:rowOff>
        </xdr:from>
        <xdr:to>
          <xdr:col>1</xdr:col>
          <xdr:colOff>209550</xdr:colOff>
          <xdr:row>19</xdr:row>
          <xdr:rowOff>50800</xdr:rowOff>
        </xdr:to>
        <xdr:sp macro="" textlink="">
          <xdr:nvSpPr>
            <xdr:cNvPr id="59397" name="Control 5" hidden="1">
              <a:extLst>
                <a:ext uri="{63B3BB69-23CF-44E3-9099-C40C66FF867C}">
                  <a14:compatExt spid="_x0000_s59397"/>
                </a:ext>
                <a:ext uri="{FF2B5EF4-FFF2-40B4-BE49-F238E27FC236}">
                  <a16:creationId xmlns:a16="http://schemas.microsoft.com/office/drawing/2014/main" id="{00000000-0008-0000-1600-000005E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18</xdr:row>
          <xdr:rowOff>0</xdr:rowOff>
        </xdr:from>
        <xdr:to>
          <xdr:col>1</xdr:col>
          <xdr:colOff>209550</xdr:colOff>
          <xdr:row>19</xdr:row>
          <xdr:rowOff>50800</xdr:rowOff>
        </xdr:to>
        <xdr:sp macro="" textlink="">
          <xdr:nvSpPr>
            <xdr:cNvPr id="59398" name="Control 6" hidden="1">
              <a:extLst>
                <a:ext uri="{63B3BB69-23CF-44E3-9099-C40C66FF867C}">
                  <a14:compatExt spid="_x0000_s59398"/>
                </a:ext>
                <a:ext uri="{FF2B5EF4-FFF2-40B4-BE49-F238E27FC236}">
                  <a16:creationId xmlns:a16="http://schemas.microsoft.com/office/drawing/2014/main" id="{00000000-0008-0000-1600-000006E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18</xdr:row>
          <xdr:rowOff>0</xdr:rowOff>
        </xdr:from>
        <xdr:to>
          <xdr:col>1</xdr:col>
          <xdr:colOff>209550</xdr:colOff>
          <xdr:row>19</xdr:row>
          <xdr:rowOff>50800</xdr:rowOff>
        </xdr:to>
        <xdr:sp macro="" textlink="">
          <xdr:nvSpPr>
            <xdr:cNvPr id="59399" name="Control 7" hidden="1">
              <a:extLst>
                <a:ext uri="{63B3BB69-23CF-44E3-9099-C40C66FF867C}">
                  <a14:compatExt spid="_x0000_s59399"/>
                </a:ext>
                <a:ext uri="{FF2B5EF4-FFF2-40B4-BE49-F238E27FC236}">
                  <a16:creationId xmlns:a16="http://schemas.microsoft.com/office/drawing/2014/main" id="{00000000-0008-0000-1600-000007E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18</xdr:row>
          <xdr:rowOff>0</xdr:rowOff>
        </xdr:from>
        <xdr:to>
          <xdr:col>1</xdr:col>
          <xdr:colOff>209550</xdr:colOff>
          <xdr:row>19</xdr:row>
          <xdr:rowOff>50800</xdr:rowOff>
        </xdr:to>
        <xdr:sp macro="" textlink="">
          <xdr:nvSpPr>
            <xdr:cNvPr id="59400" name="Control 8" hidden="1">
              <a:extLst>
                <a:ext uri="{63B3BB69-23CF-44E3-9099-C40C66FF867C}">
                  <a14:compatExt spid="_x0000_s59400"/>
                </a:ext>
                <a:ext uri="{FF2B5EF4-FFF2-40B4-BE49-F238E27FC236}">
                  <a16:creationId xmlns:a16="http://schemas.microsoft.com/office/drawing/2014/main" id="{00000000-0008-0000-1600-000008E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18</xdr:row>
          <xdr:rowOff>0</xdr:rowOff>
        </xdr:from>
        <xdr:to>
          <xdr:col>1</xdr:col>
          <xdr:colOff>209550</xdr:colOff>
          <xdr:row>19</xdr:row>
          <xdr:rowOff>50800</xdr:rowOff>
        </xdr:to>
        <xdr:sp macro="" textlink="">
          <xdr:nvSpPr>
            <xdr:cNvPr id="59401" name="Control 9" hidden="1">
              <a:extLst>
                <a:ext uri="{63B3BB69-23CF-44E3-9099-C40C66FF867C}">
                  <a14:compatExt spid="_x0000_s59401"/>
                </a:ext>
                <a:ext uri="{FF2B5EF4-FFF2-40B4-BE49-F238E27FC236}">
                  <a16:creationId xmlns:a16="http://schemas.microsoft.com/office/drawing/2014/main" id="{00000000-0008-0000-1600-000009E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18</xdr:row>
          <xdr:rowOff>0</xdr:rowOff>
        </xdr:from>
        <xdr:to>
          <xdr:col>1</xdr:col>
          <xdr:colOff>209550</xdr:colOff>
          <xdr:row>19</xdr:row>
          <xdr:rowOff>50800</xdr:rowOff>
        </xdr:to>
        <xdr:sp macro="" textlink="">
          <xdr:nvSpPr>
            <xdr:cNvPr id="59402" name="Control 10" hidden="1">
              <a:extLst>
                <a:ext uri="{63B3BB69-23CF-44E3-9099-C40C66FF867C}">
                  <a14:compatExt spid="_x0000_s59402"/>
                </a:ext>
                <a:ext uri="{FF2B5EF4-FFF2-40B4-BE49-F238E27FC236}">
                  <a16:creationId xmlns:a16="http://schemas.microsoft.com/office/drawing/2014/main" id="{00000000-0008-0000-1600-00000AE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18</xdr:row>
          <xdr:rowOff>0</xdr:rowOff>
        </xdr:from>
        <xdr:to>
          <xdr:col>1</xdr:col>
          <xdr:colOff>209550</xdr:colOff>
          <xdr:row>19</xdr:row>
          <xdr:rowOff>50800</xdr:rowOff>
        </xdr:to>
        <xdr:sp macro="" textlink="">
          <xdr:nvSpPr>
            <xdr:cNvPr id="59403" name="Control 11" hidden="1">
              <a:extLst>
                <a:ext uri="{63B3BB69-23CF-44E3-9099-C40C66FF867C}">
                  <a14:compatExt spid="_x0000_s59403"/>
                </a:ext>
                <a:ext uri="{FF2B5EF4-FFF2-40B4-BE49-F238E27FC236}">
                  <a16:creationId xmlns:a16="http://schemas.microsoft.com/office/drawing/2014/main" id="{00000000-0008-0000-1600-00000BE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18</xdr:row>
          <xdr:rowOff>0</xdr:rowOff>
        </xdr:from>
        <xdr:to>
          <xdr:col>1</xdr:col>
          <xdr:colOff>209550</xdr:colOff>
          <xdr:row>19</xdr:row>
          <xdr:rowOff>50800</xdr:rowOff>
        </xdr:to>
        <xdr:sp macro="" textlink="">
          <xdr:nvSpPr>
            <xdr:cNvPr id="59404" name="Control 12" hidden="1">
              <a:extLst>
                <a:ext uri="{63B3BB69-23CF-44E3-9099-C40C66FF867C}">
                  <a14:compatExt spid="_x0000_s59404"/>
                </a:ext>
                <a:ext uri="{FF2B5EF4-FFF2-40B4-BE49-F238E27FC236}">
                  <a16:creationId xmlns:a16="http://schemas.microsoft.com/office/drawing/2014/main" id="{00000000-0008-0000-1600-00000CE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6</xdr:col>
      <xdr:colOff>422275</xdr:colOff>
      <xdr:row>1</xdr:row>
      <xdr:rowOff>127000</xdr:rowOff>
    </xdr:from>
    <xdr:to>
      <xdr:col>11</xdr:col>
      <xdr:colOff>428625</xdr:colOff>
      <xdr:row>16</xdr:row>
      <xdr:rowOff>6350</xdr:rowOff>
    </xdr:to>
    <xdr:graphicFrame macro="">
      <xdr:nvGraphicFramePr>
        <xdr:cNvPr id="2" name="Chart 1">
          <a:extLst>
            <a:ext uri="{FF2B5EF4-FFF2-40B4-BE49-F238E27FC236}">
              <a16:creationId xmlns:a16="http://schemas.microsoft.com/office/drawing/2014/main" id="{00000000-0008-0000-1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2.xml"/><Relationship Id="rId1" Type="http://schemas.openxmlformats.org/officeDocument/2006/relationships/printerSettings" Target="../printerSettings/printerSettings10.bin"/><Relationship Id="rId4" Type="http://schemas.openxmlformats.org/officeDocument/2006/relationships/comments" Target="../comments9.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3.xml"/><Relationship Id="rId1" Type="http://schemas.openxmlformats.org/officeDocument/2006/relationships/printerSettings" Target="../printerSettings/printerSettings11.bin"/><Relationship Id="rId4" Type="http://schemas.openxmlformats.org/officeDocument/2006/relationships/comments" Target="../comments10.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6.xml"/><Relationship Id="rId1" Type="http://schemas.openxmlformats.org/officeDocument/2006/relationships/printerSettings" Target="../printerSettings/printerSettings14.bin"/><Relationship Id="rId6" Type="http://schemas.openxmlformats.org/officeDocument/2006/relationships/comments" Target="../comments11.xml"/><Relationship Id="rId5" Type="http://schemas.openxmlformats.org/officeDocument/2006/relationships/image" Target="../media/image3.emf"/><Relationship Id="rId4" Type="http://schemas.openxmlformats.org/officeDocument/2006/relationships/control" Target="../activeX/activeX1.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3" Type="http://schemas.openxmlformats.org/officeDocument/2006/relationships/vmlDrawing" Target="../drawings/vmlDrawing12.vml"/><Relationship Id="rId7" Type="http://schemas.openxmlformats.org/officeDocument/2006/relationships/control" Target="../activeX/activeX4.xml"/><Relationship Id="rId12" Type="http://schemas.openxmlformats.org/officeDocument/2006/relationships/control" Target="../activeX/activeX9.xml"/><Relationship Id="rId2" Type="http://schemas.openxmlformats.org/officeDocument/2006/relationships/drawing" Target="../drawings/drawing9.xml"/><Relationship Id="rId16" Type="http://schemas.openxmlformats.org/officeDocument/2006/relationships/control" Target="../activeX/activeX13.xml"/><Relationship Id="rId1" Type="http://schemas.openxmlformats.org/officeDocument/2006/relationships/printerSettings" Target="../printerSettings/printerSettings17.bin"/><Relationship Id="rId6" Type="http://schemas.openxmlformats.org/officeDocument/2006/relationships/control" Target="../activeX/activeX3.xml"/><Relationship Id="rId11" Type="http://schemas.openxmlformats.org/officeDocument/2006/relationships/control" Target="../activeX/activeX8.xml"/><Relationship Id="rId5" Type="http://schemas.openxmlformats.org/officeDocument/2006/relationships/image" Target="../media/image4.emf"/><Relationship Id="rId15" Type="http://schemas.openxmlformats.org/officeDocument/2006/relationships/control" Target="../activeX/activeX12.xml"/><Relationship Id="rId10" Type="http://schemas.openxmlformats.org/officeDocument/2006/relationships/control" Target="../activeX/activeX7.xml"/><Relationship Id="rId4" Type="http://schemas.openxmlformats.org/officeDocument/2006/relationships/control" Target="../activeX/activeX2.xml"/><Relationship Id="rId9" Type="http://schemas.openxmlformats.org/officeDocument/2006/relationships/control" Target="../activeX/activeX6.xml"/><Relationship Id="rId14" Type="http://schemas.openxmlformats.org/officeDocument/2006/relationships/control" Target="../activeX/activeX11.xm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finance.yahoo.com/q/op?s=SPY&amp;date=1435795200"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hyperlink" Target="http://www.nasdaq.com/symbol/cost/dividend-history" TargetMode="External"/><Relationship Id="rId2" Type="http://schemas.openxmlformats.org/officeDocument/2006/relationships/hyperlink" Target="http://www.streetinsider.com/ec_earnings.php?q=AAPL" TargetMode="External"/><Relationship Id="rId1" Type="http://schemas.openxmlformats.org/officeDocument/2006/relationships/hyperlink" Target="http://www.nasdaq.com/earnings/report/AAPL" TargetMode="External"/><Relationship Id="rId4"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6.bin"/><Relationship Id="rId1" Type="http://schemas.openxmlformats.org/officeDocument/2006/relationships/hyperlink" Target="http://finance.yahoo.com/q/op?s=SPY&amp;date=1435795200" TargetMode="External"/><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7.bin"/><Relationship Id="rId1" Type="http://schemas.openxmlformats.org/officeDocument/2006/relationships/hyperlink" Target="http://finance.yahoo.com/q/op?s=SPY&amp;date=1435795200" TargetMode="External"/><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P154"/>
  <sheetViews>
    <sheetView topLeftCell="A26" workbookViewId="0">
      <selection activeCell="A37" sqref="A37"/>
    </sheetView>
  </sheetViews>
  <sheetFormatPr defaultRowHeight="14.5" x14ac:dyDescent="0.35"/>
  <cols>
    <col min="2" max="2" width="17.7265625" bestFit="1" customWidth="1"/>
    <col min="3" max="3" width="12.7265625" bestFit="1" customWidth="1"/>
  </cols>
  <sheetData>
    <row r="2" spans="1:16" x14ac:dyDescent="0.35">
      <c r="I2" t="s">
        <v>443</v>
      </c>
      <c r="P2" t="s">
        <v>443</v>
      </c>
    </row>
    <row r="3" spans="1:16" x14ac:dyDescent="0.35">
      <c r="I3" t="s">
        <v>444</v>
      </c>
      <c r="P3" t="s">
        <v>444</v>
      </c>
    </row>
    <row r="4" spans="1:16" x14ac:dyDescent="0.35">
      <c r="A4" t="s">
        <v>693</v>
      </c>
      <c r="B4" t="s">
        <v>577</v>
      </c>
      <c r="D4" t="s">
        <v>182</v>
      </c>
      <c r="E4" t="s">
        <v>585</v>
      </c>
      <c r="F4" t="s">
        <v>612</v>
      </c>
      <c r="I4" t="s">
        <v>445</v>
      </c>
      <c r="P4" t="s">
        <v>445</v>
      </c>
    </row>
    <row r="5" spans="1:16" x14ac:dyDescent="0.35">
      <c r="A5" t="s">
        <v>0</v>
      </c>
      <c r="B5" t="s">
        <v>578</v>
      </c>
      <c r="I5" t="s">
        <v>0</v>
      </c>
      <c r="P5" t="s">
        <v>0</v>
      </c>
    </row>
    <row r="6" spans="1:16" x14ac:dyDescent="0.35">
      <c r="A6" t="s">
        <v>1</v>
      </c>
      <c r="B6" t="s">
        <v>579</v>
      </c>
      <c r="I6" t="s">
        <v>1</v>
      </c>
      <c r="P6" t="s">
        <v>91</v>
      </c>
    </row>
    <row r="7" spans="1:16" x14ac:dyDescent="0.35">
      <c r="A7" t="s">
        <v>87</v>
      </c>
      <c r="B7" t="s">
        <v>579</v>
      </c>
      <c r="C7" t="s">
        <v>580</v>
      </c>
      <c r="I7" t="s">
        <v>87</v>
      </c>
      <c r="P7" t="s">
        <v>1</v>
      </c>
    </row>
    <row r="8" spans="1:16" x14ac:dyDescent="0.35">
      <c r="A8" t="s">
        <v>343</v>
      </c>
      <c r="B8" t="s">
        <v>579</v>
      </c>
      <c r="C8" t="s">
        <v>581</v>
      </c>
      <c r="I8" t="s">
        <v>343</v>
      </c>
      <c r="P8" t="s">
        <v>87</v>
      </c>
    </row>
    <row r="9" spans="1:16" x14ac:dyDescent="0.35">
      <c r="A9" t="s">
        <v>93</v>
      </c>
      <c r="B9" t="s">
        <v>583</v>
      </c>
      <c r="C9" t="s">
        <v>582</v>
      </c>
      <c r="I9" t="s">
        <v>93</v>
      </c>
      <c r="P9" t="s">
        <v>343</v>
      </c>
    </row>
    <row r="10" spans="1:16" x14ac:dyDescent="0.35">
      <c r="A10" t="s">
        <v>356</v>
      </c>
      <c r="B10" t="s">
        <v>579</v>
      </c>
      <c r="I10" t="s">
        <v>356</v>
      </c>
      <c r="P10" t="s">
        <v>93</v>
      </c>
    </row>
    <row r="11" spans="1:16" x14ac:dyDescent="0.35">
      <c r="A11" t="s">
        <v>355</v>
      </c>
      <c r="B11" t="s">
        <v>579</v>
      </c>
      <c r="C11" t="s">
        <v>584</v>
      </c>
      <c r="I11" t="s">
        <v>355</v>
      </c>
      <c r="P11" t="s">
        <v>72</v>
      </c>
    </row>
    <row r="12" spans="1:16" x14ac:dyDescent="0.35">
      <c r="A12" t="s">
        <v>414</v>
      </c>
      <c r="B12" t="s">
        <v>579</v>
      </c>
      <c r="C12" t="s">
        <v>584</v>
      </c>
      <c r="I12" t="s">
        <v>414</v>
      </c>
      <c r="P12" t="s">
        <v>85</v>
      </c>
    </row>
    <row r="13" spans="1:16" x14ac:dyDescent="0.35">
      <c r="A13" t="s">
        <v>368</v>
      </c>
      <c r="B13" t="s">
        <v>579</v>
      </c>
      <c r="I13" t="s">
        <v>368</v>
      </c>
      <c r="P13" t="s">
        <v>452</v>
      </c>
    </row>
    <row r="14" spans="1:16" x14ac:dyDescent="0.35">
      <c r="A14" t="s">
        <v>346</v>
      </c>
      <c r="B14" t="s">
        <v>578</v>
      </c>
      <c r="D14" t="s">
        <v>587</v>
      </c>
      <c r="E14" t="s">
        <v>586</v>
      </c>
      <c r="I14" t="s">
        <v>346</v>
      </c>
      <c r="P14" t="s">
        <v>453</v>
      </c>
    </row>
    <row r="15" spans="1:16" x14ac:dyDescent="0.35">
      <c r="A15" t="s">
        <v>366</v>
      </c>
      <c r="B15" t="s">
        <v>588</v>
      </c>
      <c r="C15" t="s">
        <v>589</v>
      </c>
      <c r="D15" t="s">
        <v>590</v>
      </c>
      <c r="E15" t="s">
        <v>590</v>
      </c>
      <c r="I15" t="s">
        <v>366</v>
      </c>
      <c r="P15" t="s">
        <v>454</v>
      </c>
    </row>
    <row r="16" spans="1:16" x14ac:dyDescent="0.35">
      <c r="A16" t="s">
        <v>184</v>
      </c>
      <c r="B16" t="s">
        <v>591</v>
      </c>
      <c r="I16" t="s">
        <v>184</v>
      </c>
      <c r="P16" t="s">
        <v>455</v>
      </c>
    </row>
    <row r="17" spans="1:16" x14ac:dyDescent="0.35">
      <c r="A17" t="s">
        <v>92</v>
      </c>
      <c r="B17" t="s">
        <v>592</v>
      </c>
      <c r="C17" t="s">
        <v>580</v>
      </c>
      <c r="I17" t="s">
        <v>92</v>
      </c>
      <c r="P17" t="s">
        <v>456</v>
      </c>
    </row>
    <row r="18" spans="1:16" x14ac:dyDescent="0.35">
      <c r="A18" t="s">
        <v>363</v>
      </c>
      <c r="B18" t="s">
        <v>593</v>
      </c>
      <c r="I18" t="s">
        <v>363</v>
      </c>
      <c r="P18" t="s">
        <v>529</v>
      </c>
    </row>
    <row r="19" spans="1:16" x14ac:dyDescent="0.35">
      <c r="A19" t="s">
        <v>370</v>
      </c>
      <c r="B19" t="s">
        <v>579</v>
      </c>
      <c r="I19" t="s">
        <v>370</v>
      </c>
      <c r="P19" t="s">
        <v>466</v>
      </c>
    </row>
    <row r="20" spans="1:16" x14ac:dyDescent="0.35">
      <c r="A20" t="s">
        <v>374</v>
      </c>
      <c r="B20" t="s">
        <v>579</v>
      </c>
      <c r="C20" t="s">
        <v>584</v>
      </c>
      <c r="I20" t="s">
        <v>374</v>
      </c>
      <c r="P20" t="s">
        <v>33</v>
      </c>
    </row>
    <row r="21" spans="1:16" x14ac:dyDescent="0.35">
      <c r="A21" t="s">
        <v>72</v>
      </c>
      <c r="B21" t="s">
        <v>588</v>
      </c>
      <c r="C21" t="s">
        <v>594</v>
      </c>
      <c r="I21" t="s">
        <v>72</v>
      </c>
      <c r="P21" t="s">
        <v>338</v>
      </c>
    </row>
    <row r="22" spans="1:16" x14ac:dyDescent="0.35">
      <c r="A22" t="s">
        <v>85</v>
      </c>
      <c r="B22" t="s">
        <v>588</v>
      </c>
      <c r="C22" t="s">
        <v>594</v>
      </c>
      <c r="I22" t="s">
        <v>446</v>
      </c>
      <c r="P22" t="s">
        <v>181</v>
      </c>
    </row>
    <row r="23" spans="1:16" x14ac:dyDescent="0.35">
      <c r="A23" t="s">
        <v>447</v>
      </c>
      <c r="B23" t="s">
        <v>578</v>
      </c>
      <c r="C23" t="s">
        <v>596</v>
      </c>
      <c r="I23" t="s">
        <v>447</v>
      </c>
      <c r="P23" t="s">
        <v>86</v>
      </c>
    </row>
    <row r="24" spans="1:16" x14ac:dyDescent="0.35">
      <c r="A24" t="s">
        <v>448</v>
      </c>
      <c r="B24" t="s">
        <v>578</v>
      </c>
      <c r="C24" t="s">
        <v>595</v>
      </c>
      <c r="I24" t="s">
        <v>448</v>
      </c>
      <c r="P24" t="s">
        <v>354</v>
      </c>
    </row>
    <row r="25" spans="1:16" x14ac:dyDescent="0.35">
      <c r="A25" t="s">
        <v>449</v>
      </c>
      <c r="B25" t="s">
        <v>578</v>
      </c>
      <c r="C25" t="s">
        <v>597</v>
      </c>
      <c r="I25" t="s">
        <v>449</v>
      </c>
      <c r="P25" t="s">
        <v>530</v>
      </c>
    </row>
    <row r="26" spans="1:16" x14ac:dyDescent="0.35">
      <c r="A26" t="s">
        <v>91</v>
      </c>
      <c r="B26" t="s">
        <v>578</v>
      </c>
      <c r="C26" t="s">
        <v>598</v>
      </c>
      <c r="I26" t="s">
        <v>91</v>
      </c>
      <c r="P26" t="s">
        <v>469</v>
      </c>
    </row>
    <row r="27" spans="1:16" x14ac:dyDescent="0.35">
      <c r="A27" t="s">
        <v>389</v>
      </c>
      <c r="B27" t="s">
        <v>599</v>
      </c>
      <c r="I27" t="s">
        <v>389</v>
      </c>
      <c r="P27" t="s">
        <v>355</v>
      </c>
    </row>
    <row r="28" spans="1:16" x14ac:dyDescent="0.35">
      <c r="A28" t="s">
        <v>402</v>
      </c>
      <c r="B28" t="s">
        <v>592</v>
      </c>
      <c r="C28" t="s">
        <v>580</v>
      </c>
      <c r="I28" t="s">
        <v>402</v>
      </c>
      <c r="P28" t="s">
        <v>356</v>
      </c>
    </row>
    <row r="29" spans="1:16" x14ac:dyDescent="0.35">
      <c r="A29" t="s">
        <v>436</v>
      </c>
      <c r="B29" t="s">
        <v>600</v>
      </c>
      <c r="I29" t="s">
        <v>436</v>
      </c>
      <c r="P29" t="s">
        <v>368</v>
      </c>
    </row>
    <row r="30" spans="1:16" x14ac:dyDescent="0.35">
      <c r="A30" t="s">
        <v>438</v>
      </c>
      <c r="B30" t="s">
        <v>579</v>
      </c>
      <c r="I30" t="s">
        <v>438</v>
      </c>
      <c r="P30" t="s">
        <v>531</v>
      </c>
    </row>
    <row r="31" spans="1:16" x14ac:dyDescent="0.35">
      <c r="A31" t="s">
        <v>442</v>
      </c>
      <c r="B31" t="s">
        <v>579</v>
      </c>
      <c r="C31" t="s">
        <v>580</v>
      </c>
      <c r="I31" t="s">
        <v>442</v>
      </c>
      <c r="P31" t="s">
        <v>374</v>
      </c>
    </row>
    <row r="32" spans="1:16" x14ac:dyDescent="0.35">
      <c r="A32" t="s">
        <v>453</v>
      </c>
      <c r="B32" t="s">
        <v>602</v>
      </c>
      <c r="C32" t="s">
        <v>601</v>
      </c>
      <c r="I32" t="s">
        <v>450</v>
      </c>
      <c r="P32" t="s">
        <v>480</v>
      </c>
    </row>
    <row r="33" spans="1:16" x14ac:dyDescent="0.35">
      <c r="A33" t="s">
        <v>454</v>
      </c>
      <c r="B33" t="s">
        <v>603</v>
      </c>
      <c r="C33" t="s">
        <v>601</v>
      </c>
      <c r="I33" t="s">
        <v>451</v>
      </c>
      <c r="P33" t="s">
        <v>532</v>
      </c>
    </row>
    <row r="34" spans="1:16" x14ac:dyDescent="0.35">
      <c r="A34" t="s">
        <v>455</v>
      </c>
      <c r="B34" t="s">
        <v>579</v>
      </c>
      <c r="C34" t="s">
        <v>601</v>
      </c>
      <c r="I34" t="s">
        <v>452</v>
      </c>
      <c r="P34" t="s">
        <v>533</v>
      </c>
    </row>
    <row r="35" spans="1:16" x14ac:dyDescent="0.35">
      <c r="A35" t="s">
        <v>456</v>
      </c>
      <c r="B35" t="s">
        <v>604</v>
      </c>
      <c r="C35" t="s">
        <v>601</v>
      </c>
      <c r="I35" t="s">
        <v>453</v>
      </c>
      <c r="P35" t="s">
        <v>534</v>
      </c>
    </row>
    <row r="36" spans="1:16" x14ac:dyDescent="0.35">
      <c r="A36" t="s">
        <v>529</v>
      </c>
      <c r="B36" t="s">
        <v>605</v>
      </c>
      <c r="C36" t="s">
        <v>601</v>
      </c>
      <c r="I36" t="s">
        <v>454</v>
      </c>
      <c r="P36" t="s">
        <v>535</v>
      </c>
    </row>
    <row r="37" spans="1:16" x14ac:dyDescent="0.35">
      <c r="A37" t="s">
        <v>458</v>
      </c>
      <c r="C37" t="s">
        <v>601</v>
      </c>
      <c r="I37" t="s">
        <v>455</v>
      </c>
      <c r="P37" t="s">
        <v>536</v>
      </c>
    </row>
    <row r="38" spans="1:16" x14ac:dyDescent="0.35">
      <c r="A38" t="s">
        <v>459</v>
      </c>
      <c r="B38" t="s">
        <v>606</v>
      </c>
      <c r="C38" t="s">
        <v>601</v>
      </c>
      <c r="I38" t="s">
        <v>456</v>
      </c>
      <c r="P38" t="s">
        <v>487</v>
      </c>
    </row>
    <row r="39" spans="1:16" x14ac:dyDescent="0.35">
      <c r="A39" t="s">
        <v>460</v>
      </c>
      <c r="B39" t="s">
        <v>608</v>
      </c>
      <c r="C39" t="s">
        <v>601</v>
      </c>
      <c r="I39" t="s">
        <v>457</v>
      </c>
      <c r="P39" t="s">
        <v>537</v>
      </c>
    </row>
    <row r="40" spans="1:16" x14ac:dyDescent="0.35">
      <c r="A40" t="s">
        <v>461</v>
      </c>
      <c r="B40" t="s">
        <v>609</v>
      </c>
      <c r="C40" t="s">
        <v>601</v>
      </c>
      <c r="I40" t="s">
        <v>458</v>
      </c>
      <c r="P40" t="s">
        <v>490</v>
      </c>
    </row>
    <row r="41" spans="1:16" x14ac:dyDescent="0.35">
      <c r="A41" t="s">
        <v>462</v>
      </c>
      <c r="B41" t="s">
        <v>607</v>
      </c>
      <c r="C41" t="s">
        <v>601</v>
      </c>
      <c r="I41" t="s">
        <v>459</v>
      </c>
      <c r="P41" t="s">
        <v>538</v>
      </c>
    </row>
    <row r="42" spans="1:16" x14ac:dyDescent="0.35">
      <c r="A42" t="s">
        <v>463</v>
      </c>
      <c r="C42" t="s">
        <v>601</v>
      </c>
      <c r="I42" t="s">
        <v>460</v>
      </c>
      <c r="P42" t="s">
        <v>492</v>
      </c>
    </row>
    <row r="43" spans="1:16" x14ac:dyDescent="0.35">
      <c r="A43" t="s">
        <v>464</v>
      </c>
      <c r="B43" t="s">
        <v>580</v>
      </c>
      <c r="C43" t="s">
        <v>601</v>
      </c>
      <c r="I43" t="s">
        <v>461</v>
      </c>
      <c r="P43" t="s">
        <v>539</v>
      </c>
    </row>
    <row r="44" spans="1:16" x14ac:dyDescent="0.35">
      <c r="A44" t="s">
        <v>465</v>
      </c>
      <c r="B44" t="s">
        <v>610</v>
      </c>
      <c r="C44" t="s">
        <v>601</v>
      </c>
      <c r="I44" t="s">
        <v>462</v>
      </c>
      <c r="P44" t="s">
        <v>494</v>
      </c>
    </row>
    <row r="45" spans="1:16" x14ac:dyDescent="0.35">
      <c r="A45" t="s">
        <v>33</v>
      </c>
      <c r="B45" t="s">
        <v>611</v>
      </c>
      <c r="F45" t="s">
        <v>613</v>
      </c>
      <c r="I45" t="s">
        <v>463</v>
      </c>
      <c r="P45" t="s">
        <v>540</v>
      </c>
    </row>
    <row r="46" spans="1:16" x14ac:dyDescent="0.35">
      <c r="A46" t="s">
        <v>338</v>
      </c>
      <c r="B46" t="s">
        <v>611</v>
      </c>
      <c r="F46" t="s">
        <v>613</v>
      </c>
      <c r="I46" t="s">
        <v>464</v>
      </c>
      <c r="P46" t="s">
        <v>541</v>
      </c>
    </row>
    <row r="47" spans="1:16" x14ac:dyDescent="0.35">
      <c r="A47" t="s">
        <v>181</v>
      </c>
      <c r="B47" t="s">
        <v>611</v>
      </c>
      <c r="F47" t="s">
        <v>613</v>
      </c>
      <c r="I47" t="s">
        <v>465</v>
      </c>
      <c r="P47" t="s">
        <v>542</v>
      </c>
    </row>
    <row r="48" spans="1:16" x14ac:dyDescent="0.35">
      <c r="A48" t="s">
        <v>354</v>
      </c>
      <c r="B48" t="s">
        <v>606</v>
      </c>
      <c r="I48" t="s">
        <v>466</v>
      </c>
      <c r="P48" t="s">
        <v>498</v>
      </c>
    </row>
    <row r="49" spans="1:16" x14ac:dyDescent="0.35">
      <c r="A49" t="s">
        <v>531</v>
      </c>
      <c r="B49" t="s">
        <v>579</v>
      </c>
      <c r="I49" t="s">
        <v>467</v>
      </c>
      <c r="P49" t="s">
        <v>499</v>
      </c>
    </row>
    <row r="50" spans="1:16" x14ac:dyDescent="0.35">
      <c r="A50" t="s">
        <v>473</v>
      </c>
      <c r="I50" t="s">
        <v>338</v>
      </c>
      <c r="P50" t="s">
        <v>367</v>
      </c>
    </row>
    <row r="51" spans="1:16" x14ac:dyDescent="0.35">
      <c r="A51" t="s">
        <v>474</v>
      </c>
      <c r="I51" t="s">
        <v>181</v>
      </c>
      <c r="P51" t="s">
        <v>543</v>
      </c>
    </row>
    <row r="52" spans="1:16" x14ac:dyDescent="0.35">
      <c r="A52" t="s">
        <v>476</v>
      </c>
      <c r="I52" t="s">
        <v>468</v>
      </c>
      <c r="P52" t="s">
        <v>372</v>
      </c>
    </row>
    <row r="53" spans="1:16" x14ac:dyDescent="0.35">
      <c r="A53" t="s">
        <v>362</v>
      </c>
      <c r="I53" t="s">
        <v>354</v>
      </c>
      <c r="P53" t="s">
        <v>382</v>
      </c>
    </row>
    <row r="54" spans="1:16" x14ac:dyDescent="0.35">
      <c r="A54" t="s">
        <v>549</v>
      </c>
      <c r="I54" t="s">
        <v>469</v>
      </c>
      <c r="P54" t="s">
        <v>57</v>
      </c>
    </row>
    <row r="55" spans="1:16" x14ac:dyDescent="0.35">
      <c r="A55" t="s">
        <v>574</v>
      </c>
      <c r="I55" t="s">
        <v>470</v>
      </c>
      <c r="P55" t="s">
        <v>544</v>
      </c>
    </row>
    <row r="56" spans="1:16" x14ac:dyDescent="0.35">
      <c r="A56" t="s">
        <v>532</v>
      </c>
      <c r="I56" t="s">
        <v>471</v>
      </c>
      <c r="P56" t="s">
        <v>166</v>
      </c>
    </row>
    <row r="57" spans="1:16" x14ac:dyDescent="0.35">
      <c r="A57" t="s">
        <v>533</v>
      </c>
      <c r="I57" t="s">
        <v>472</v>
      </c>
      <c r="P57" t="s">
        <v>390</v>
      </c>
    </row>
    <row r="58" spans="1:16" x14ac:dyDescent="0.35">
      <c r="A58" t="s">
        <v>534</v>
      </c>
      <c r="I58" t="s">
        <v>473</v>
      </c>
      <c r="P58" t="s">
        <v>545</v>
      </c>
    </row>
    <row r="59" spans="1:16" x14ac:dyDescent="0.35">
      <c r="A59" t="s">
        <v>535</v>
      </c>
      <c r="I59" t="s">
        <v>474</v>
      </c>
      <c r="P59" t="s">
        <v>363</v>
      </c>
    </row>
    <row r="60" spans="1:16" x14ac:dyDescent="0.35">
      <c r="A60" t="s">
        <v>536</v>
      </c>
      <c r="I60" t="s">
        <v>475</v>
      </c>
      <c r="P60" t="s">
        <v>472</v>
      </c>
    </row>
    <row r="61" spans="1:16" x14ac:dyDescent="0.35">
      <c r="A61" t="s">
        <v>575</v>
      </c>
      <c r="I61" t="s">
        <v>476</v>
      </c>
      <c r="P61" t="s">
        <v>546</v>
      </c>
    </row>
    <row r="62" spans="1:16" x14ac:dyDescent="0.35">
      <c r="A62" t="s">
        <v>490</v>
      </c>
      <c r="I62" t="s">
        <v>477</v>
      </c>
      <c r="P62" t="s">
        <v>547</v>
      </c>
    </row>
    <row r="63" spans="1:16" x14ac:dyDescent="0.35">
      <c r="A63" t="s">
        <v>542</v>
      </c>
      <c r="I63" t="s">
        <v>478</v>
      </c>
      <c r="P63" t="s">
        <v>548</v>
      </c>
    </row>
    <row r="64" spans="1:16" x14ac:dyDescent="0.35">
      <c r="A64" t="s">
        <v>576</v>
      </c>
      <c r="I64" t="s">
        <v>479</v>
      </c>
      <c r="P64" t="s">
        <v>476</v>
      </c>
    </row>
    <row r="65" spans="1:16" x14ac:dyDescent="0.35">
      <c r="A65" t="s">
        <v>367</v>
      </c>
      <c r="I65" t="s">
        <v>480</v>
      </c>
      <c r="P65" t="s">
        <v>549</v>
      </c>
    </row>
    <row r="66" spans="1:16" x14ac:dyDescent="0.35">
      <c r="A66" t="s">
        <v>543</v>
      </c>
      <c r="I66" t="s">
        <v>481</v>
      </c>
      <c r="P66" t="s">
        <v>362</v>
      </c>
    </row>
    <row r="67" spans="1:16" x14ac:dyDescent="0.35">
      <c r="A67" t="s">
        <v>372</v>
      </c>
      <c r="I67" t="s">
        <v>482</v>
      </c>
      <c r="P67" t="s">
        <v>504</v>
      </c>
    </row>
    <row r="68" spans="1:16" x14ac:dyDescent="0.35">
      <c r="A68" t="s">
        <v>382</v>
      </c>
      <c r="I68" t="s">
        <v>483</v>
      </c>
      <c r="P68" t="s">
        <v>117</v>
      </c>
    </row>
    <row r="69" spans="1:16" x14ac:dyDescent="0.35">
      <c r="A69" t="s">
        <v>117</v>
      </c>
      <c r="I69" t="s">
        <v>484</v>
      </c>
      <c r="P69" t="s">
        <v>373</v>
      </c>
    </row>
    <row r="70" spans="1:16" x14ac:dyDescent="0.35">
      <c r="A70" t="s">
        <v>373</v>
      </c>
      <c r="I70" t="s">
        <v>485</v>
      </c>
      <c r="P70" t="s">
        <v>184</v>
      </c>
    </row>
    <row r="71" spans="1:16" x14ac:dyDescent="0.35">
      <c r="A71" t="s">
        <v>399</v>
      </c>
      <c r="I71" t="s">
        <v>486</v>
      </c>
      <c r="P71" t="s">
        <v>399</v>
      </c>
    </row>
    <row r="72" spans="1:16" x14ac:dyDescent="0.35">
      <c r="A72" t="s">
        <v>550</v>
      </c>
      <c r="I72" t="s">
        <v>487</v>
      </c>
      <c r="P72" t="s">
        <v>550</v>
      </c>
    </row>
    <row r="73" spans="1:16" x14ac:dyDescent="0.35">
      <c r="A73" t="s">
        <v>552</v>
      </c>
      <c r="I73" t="s">
        <v>488</v>
      </c>
      <c r="P73" t="s">
        <v>92</v>
      </c>
    </row>
    <row r="74" spans="1:16" x14ac:dyDescent="0.35">
      <c r="A74" t="s">
        <v>555</v>
      </c>
      <c r="I74" t="s">
        <v>489</v>
      </c>
      <c r="P74" t="s">
        <v>551</v>
      </c>
    </row>
    <row r="75" spans="1:16" x14ac:dyDescent="0.35">
      <c r="A75" t="s">
        <v>556</v>
      </c>
      <c r="I75" t="s">
        <v>490</v>
      </c>
      <c r="P75" t="s">
        <v>552</v>
      </c>
    </row>
    <row r="76" spans="1:16" x14ac:dyDescent="0.35">
      <c r="A76" t="s">
        <v>557</v>
      </c>
      <c r="I76" t="s">
        <v>491</v>
      </c>
      <c r="P76" t="s">
        <v>553</v>
      </c>
    </row>
    <row r="77" spans="1:16" x14ac:dyDescent="0.35">
      <c r="A77" t="s">
        <v>383</v>
      </c>
      <c r="I77" t="s">
        <v>492</v>
      </c>
      <c r="P77" t="s">
        <v>554</v>
      </c>
    </row>
    <row r="78" spans="1:16" x14ac:dyDescent="0.35">
      <c r="A78" t="s">
        <v>558</v>
      </c>
      <c r="I78" t="s">
        <v>493</v>
      </c>
      <c r="P78" t="s">
        <v>510</v>
      </c>
    </row>
    <row r="79" spans="1:16" x14ac:dyDescent="0.35">
      <c r="A79" t="s">
        <v>615</v>
      </c>
      <c r="B79" t="s">
        <v>579</v>
      </c>
      <c r="I79" t="s">
        <v>494</v>
      </c>
      <c r="P79" t="s">
        <v>555</v>
      </c>
    </row>
    <row r="80" spans="1:16" x14ac:dyDescent="0.35">
      <c r="A80" t="s">
        <v>405</v>
      </c>
      <c r="I80" t="s">
        <v>495</v>
      </c>
      <c r="P80" t="s">
        <v>556</v>
      </c>
    </row>
    <row r="81" spans="1:16" x14ac:dyDescent="0.35">
      <c r="A81" t="s">
        <v>620</v>
      </c>
      <c r="I81" t="s">
        <v>496</v>
      </c>
      <c r="P81" t="s">
        <v>557</v>
      </c>
    </row>
    <row r="82" spans="1:16" x14ac:dyDescent="0.35">
      <c r="A82" t="s">
        <v>624</v>
      </c>
      <c r="B82" t="s">
        <v>599</v>
      </c>
      <c r="I82" t="s">
        <v>497</v>
      </c>
      <c r="P82" t="s">
        <v>514</v>
      </c>
    </row>
    <row r="83" spans="1:16" x14ac:dyDescent="0.35">
      <c r="A83" t="s">
        <v>627</v>
      </c>
      <c r="I83" t="s">
        <v>498</v>
      </c>
      <c r="P83" t="s">
        <v>447</v>
      </c>
    </row>
    <row r="84" spans="1:16" x14ac:dyDescent="0.35">
      <c r="A84" t="s">
        <v>621</v>
      </c>
      <c r="I84" t="s">
        <v>499</v>
      </c>
      <c r="P84" t="s">
        <v>448</v>
      </c>
    </row>
    <row r="85" spans="1:16" x14ac:dyDescent="0.35">
      <c r="A85" t="s">
        <v>628</v>
      </c>
      <c r="I85" t="s">
        <v>500</v>
      </c>
      <c r="P85" t="s">
        <v>383</v>
      </c>
    </row>
    <row r="86" spans="1:16" x14ac:dyDescent="0.35">
      <c r="A86" t="s">
        <v>692</v>
      </c>
      <c r="I86" t="s">
        <v>501</v>
      </c>
      <c r="P86" t="s">
        <v>558</v>
      </c>
    </row>
    <row r="87" spans="1:16" x14ac:dyDescent="0.35">
      <c r="A87" t="s">
        <v>687</v>
      </c>
      <c r="I87" t="s">
        <v>502</v>
      </c>
      <c r="P87" t="s">
        <v>384</v>
      </c>
    </row>
    <row r="88" spans="1:16" x14ac:dyDescent="0.35">
      <c r="A88" t="s">
        <v>625</v>
      </c>
      <c r="B88" t="s">
        <v>697</v>
      </c>
      <c r="I88" t="s">
        <v>503</v>
      </c>
      <c r="P88" t="s">
        <v>517</v>
      </c>
    </row>
    <row r="89" spans="1:16" x14ac:dyDescent="0.35">
      <c r="A89" t="s">
        <v>686</v>
      </c>
      <c r="I89" t="s">
        <v>504</v>
      </c>
      <c r="P89" t="s">
        <v>559</v>
      </c>
    </row>
    <row r="90" spans="1:16" x14ac:dyDescent="0.35">
      <c r="A90" t="s">
        <v>380</v>
      </c>
      <c r="I90" t="s">
        <v>505</v>
      </c>
      <c r="P90" t="s">
        <v>560</v>
      </c>
    </row>
    <row r="91" spans="1:16" x14ac:dyDescent="0.35">
      <c r="A91" t="s">
        <v>632</v>
      </c>
      <c r="B91" t="s">
        <v>607</v>
      </c>
      <c r="I91" t="s">
        <v>506</v>
      </c>
      <c r="P91" t="s">
        <v>346</v>
      </c>
    </row>
    <row r="92" spans="1:16" x14ac:dyDescent="0.35">
      <c r="A92" t="s">
        <v>669</v>
      </c>
      <c r="B92" t="s">
        <v>607</v>
      </c>
      <c r="I92" t="s">
        <v>507</v>
      </c>
      <c r="P92" t="s">
        <v>561</v>
      </c>
    </row>
    <row r="93" spans="1:16" x14ac:dyDescent="0.35">
      <c r="A93" t="s">
        <v>694</v>
      </c>
      <c r="B93" t="s">
        <v>607</v>
      </c>
      <c r="C93" t="s">
        <v>695</v>
      </c>
      <c r="I93" t="s">
        <v>508</v>
      </c>
      <c r="P93" t="s">
        <v>562</v>
      </c>
    </row>
    <row r="94" spans="1:16" x14ac:dyDescent="0.35">
      <c r="A94" t="s">
        <v>629</v>
      </c>
      <c r="I94" t="s">
        <v>509</v>
      </c>
      <c r="P94" t="s">
        <v>563</v>
      </c>
    </row>
    <row r="95" spans="1:16" x14ac:dyDescent="0.35">
      <c r="A95" t="s">
        <v>683</v>
      </c>
      <c r="B95" t="s">
        <v>696</v>
      </c>
      <c r="I95" t="s">
        <v>510</v>
      </c>
      <c r="P95" t="s">
        <v>523</v>
      </c>
    </row>
    <row r="96" spans="1:16" x14ac:dyDescent="0.35">
      <c r="A96" t="s">
        <v>689</v>
      </c>
      <c r="B96" t="s">
        <v>696</v>
      </c>
      <c r="I96" t="s">
        <v>511</v>
      </c>
      <c r="P96" t="s">
        <v>564</v>
      </c>
    </row>
    <row r="97" spans="1:16" x14ac:dyDescent="0.35">
      <c r="A97" t="s">
        <v>685</v>
      </c>
      <c r="B97" t="s">
        <v>696</v>
      </c>
      <c r="I97" t="s">
        <v>512</v>
      </c>
      <c r="P97" t="s">
        <v>565</v>
      </c>
    </row>
    <row r="98" spans="1:16" x14ac:dyDescent="0.35">
      <c r="A98" t="s">
        <v>673</v>
      </c>
      <c r="B98" t="s">
        <v>696</v>
      </c>
      <c r="I98" t="s">
        <v>513</v>
      </c>
      <c r="P98" t="s">
        <v>566</v>
      </c>
    </row>
    <row r="99" spans="1:16" x14ac:dyDescent="0.35">
      <c r="A99" t="s">
        <v>614</v>
      </c>
      <c r="B99" t="s">
        <v>696</v>
      </c>
      <c r="I99" t="s">
        <v>514</v>
      </c>
      <c r="P99" t="s">
        <v>567</v>
      </c>
    </row>
    <row r="100" spans="1:16" x14ac:dyDescent="0.35">
      <c r="A100" t="s">
        <v>385</v>
      </c>
      <c r="I100" t="s">
        <v>383</v>
      </c>
      <c r="P100" t="s">
        <v>568</v>
      </c>
    </row>
    <row r="101" spans="1:16" x14ac:dyDescent="0.35">
      <c r="A101" t="s">
        <v>558</v>
      </c>
      <c r="B101" t="s">
        <v>697</v>
      </c>
      <c r="I101" t="s">
        <v>515</v>
      </c>
      <c r="P101" t="s">
        <v>569</v>
      </c>
    </row>
    <row r="102" spans="1:16" x14ac:dyDescent="0.35">
      <c r="A102" t="s">
        <v>656</v>
      </c>
      <c r="B102" t="s">
        <v>697</v>
      </c>
      <c r="I102" t="s">
        <v>516</v>
      </c>
      <c r="P102" t="s">
        <v>570</v>
      </c>
    </row>
    <row r="103" spans="1:16" x14ac:dyDescent="0.35">
      <c r="A103" t="s">
        <v>624</v>
      </c>
      <c r="I103" t="s">
        <v>384</v>
      </c>
      <c r="P103" t="s">
        <v>369</v>
      </c>
    </row>
    <row r="104" spans="1:16" x14ac:dyDescent="0.35">
      <c r="A104" t="s">
        <v>626</v>
      </c>
      <c r="B104" t="s">
        <v>698</v>
      </c>
      <c r="I104" t="s">
        <v>517</v>
      </c>
      <c r="P104" t="s">
        <v>571</v>
      </c>
    </row>
    <row r="105" spans="1:16" x14ac:dyDescent="0.35">
      <c r="A105" t="s">
        <v>166</v>
      </c>
      <c r="I105" t="s">
        <v>518</v>
      </c>
      <c r="P105" t="s">
        <v>572</v>
      </c>
    </row>
    <row r="106" spans="1:16" x14ac:dyDescent="0.35">
      <c r="A106" t="s">
        <v>390</v>
      </c>
      <c r="I106" t="s">
        <v>519</v>
      </c>
      <c r="P106" t="s">
        <v>573</v>
      </c>
    </row>
    <row r="107" spans="1:16" x14ac:dyDescent="0.35">
      <c r="A107" t="s">
        <v>644</v>
      </c>
      <c r="I107" t="s">
        <v>520</v>
      </c>
    </row>
    <row r="108" spans="1:16" x14ac:dyDescent="0.35">
      <c r="A108" t="s">
        <v>556</v>
      </c>
      <c r="I108" t="s">
        <v>521</v>
      </c>
    </row>
    <row r="109" spans="1:16" x14ac:dyDescent="0.35">
      <c r="A109" t="s">
        <v>699</v>
      </c>
      <c r="I109" t="s">
        <v>522</v>
      </c>
    </row>
    <row r="110" spans="1:16" x14ac:dyDescent="0.35">
      <c r="A110" t="s">
        <v>372</v>
      </c>
      <c r="B110" t="s">
        <v>700</v>
      </c>
      <c r="I110" t="s">
        <v>523</v>
      </c>
    </row>
    <row r="111" spans="1:16" x14ac:dyDescent="0.35">
      <c r="A111" t="s">
        <v>367</v>
      </c>
      <c r="B111" t="s">
        <v>700</v>
      </c>
      <c r="I111" t="s">
        <v>524</v>
      </c>
    </row>
    <row r="112" spans="1:16" x14ac:dyDescent="0.35">
      <c r="A112" t="s">
        <v>57</v>
      </c>
      <c r="B112" t="s">
        <v>700</v>
      </c>
      <c r="I112" t="s">
        <v>525</v>
      </c>
    </row>
    <row r="113" spans="1:9" x14ac:dyDescent="0.35">
      <c r="A113" t="s">
        <v>382</v>
      </c>
      <c r="B113" t="s">
        <v>700</v>
      </c>
      <c r="I113" t="s">
        <v>526</v>
      </c>
    </row>
    <row r="114" spans="1:9" x14ac:dyDescent="0.35">
      <c r="A114" t="s">
        <v>543</v>
      </c>
      <c r="B114" t="s">
        <v>701</v>
      </c>
      <c r="I114" t="s">
        <v>527</v>
      </c>
    </row>
    <row r="115" spans="1:9" x14ac:dyDescent="0.35">
      <c r="A115" t="s">
        <v>655</v>
      </c>
      <c r="B115" t="s">
        <v>700</v>
      </c>
      <c r="I115" t="s">
        <v>528</v>
      </c>
    </row>
    <row r="116" spans="1:9" x14ac:dyDescent="0.35">
      <c r="A116" t="s">
        <v>690</v>
      </c>
      <c r="B116" t="s">
        <v>602</v>
      </c>
    </row>
    <row r="117" spans="1:9" x14ac:dyDescent="0.35">
      <c r="A117" t="s">
        <v>180</v>
      </c>
      <c r="B117" t="s">
        <v>611</v>
      </c>
    </row>
    <row r="118" spans="1:9" x14ac:dyDescent="0.35">
      <c r="A118" t="s">
        <v>671</v>
      </c>
      <c r="B118" t="s">
        <v>611</v>
      </c>
    </row>
    <row r="119" spans="1:9" x14ac:dyDescent="0.35">
      <c r="A119" t="s">
        <v>557</v>
      </c>
      <c r="B119" t="s">
        <v>703</v>
      </c>
    </row>
    <row r="120" spans="1:9" x14ac:dyDescent="0.35">
      <c r="A120" t="s">
        <v>702</v>
      </c>
      <c r="B120" t="s">
        <v>703</v>
      </c>
    </row>
    <row r="121" spans="1:9" x14ac:dyDescent="0.35">
      <c r="A121" t="s">
        <v>704</v>
      </c>
      <c r="B121" t="s">
        <v>705</v>
      </c>
    </row>
    <row r="122" spans="1:9" x14ac:dyDescent="0.35">
      <c r="A122" t="s">
        <v>430</v>
      </c>
    </row>
    <row r="123" spans="1:9" x14ac:dyDescent="0.35">
      <c r="A123" t="s">
        <v>630</v>
      </c>
      <c r="B123" t="s">
        <v>706</v>
      </c>
    </row>
    <row r="124" spans="1:9" x14ac:dyDescent="0.35">
      <c r="A124" t="s">
        <v>707</v>
      </c>
    </row>
    <row r="125" spans="1:9" x14ac:dyDescent="0.35">
      <c r="A125" t="s">
        <v>657</v>
      </c>
    </row>
    <row r="126" spans="1:9" x14ac:dyDescent="0.35">
      <c r="A126" t="s">
        <v>666</v>
      </c>
      <c r="B126" t="s">
        <v>708</v>
      </c>
    </row>
    <row r="127" spans="1:9" x14ac:dyDescent="0.35">
      <c r="A127" t="s">
        <v>530</v>
      </c>
      <c r="B127" t="s">
        <v>709</v>
      </c>
    </row>
    <row r="128" spans="1:9" x14ac:dyDescent="0.35">
      <c r="A128" t="s">
        <v>384</v>
      </c>
      <c r="B128" t="s">
        <v>710</v>
      </c>
    </row>
    <row r="129" spans="1:2" x14ac:dyDescent="0.35">
      <c r="A129" t="s">
        <v>711</v>
      </c>
      <c r="B129" t="s">
        <v>710</v>
      </c>
    </row>
    <row r="130" spans="1:2" x14ac:dyDescent="0.35">
      <c r="A130" t="s">
        <v>675</v>
      </c>
      <c r="B130" t="s">
        <v>712</v>
      </c>
    </row>
    <row r="131" spans="1:2" x14ac:dyDescent="0.35">
      <c r="A131" t="s">
        <v>624</v>
      </c>
    </row>
    <row r="132" spans="1:2" x14ac:dyDescent="0.35">
      <c r="A132" t="s">
        <v>410</v>
      </c>
      <c r="B132" t="s">
        <v>713</v>
      </c>
    </row>
    <row r="133" spans="1:2" x14ac:dyDescent="0.35">
      <c r="A133" t="s">
        <v>616</v>
      </c>
    </row>
    <row r="134" spans="1:2" x14ac:dyDescent="0.35">
      <c r="A134" t="s">
        <v>617</v>
      </c>
    </row>
    <row r="135" spans="1:2" x14ac:dyDescent="0.35">
      <c r="A135" t="s">
        <v>364</v>
      </c>
    </row>
    <row r="136" spans="1:2" x14ac:dyDescent="0.35">
      <c r="A136" t="s">
        <v>365</v>
      </c>
    </row>
    <row r="137" spans="1:2" x14ac:dyDescent="0.35">
      <c r="A137" t="s">
        <v>86</v>
      </c>
    </row>
    <row r="138" spans="1:2" x14ac:dyDescent="0.35">
      <c r="A138" t="s">
        <v>660</v>
      </c>
    </row>
    <row r="139" spans="1:2" x14ac:dyDescent="0.35">
      <c r="A139" t="s">
        <v>563</v>
      </c>
    </row>
    <row r="140" spans="1:2" x14ac:dyDescent="0.35">
      <c r="A140" t="s">
        <v>403</v>
      </c>
    </row>
    <row r="141" spans="1:2" x14ac:dyDescent="0.35">
      <c r="A141" t="s">
        <v>661</v>
      </c>
    </row>
    <row r="142" spans="1:2" x14ac:dyDescent="0.35">
      <c r="A142" t="s">
        <v>662</v>
      </c>
    </row>
    <row r="143" spans="1:2" x14ac:dyDescent="0.35">
      <c r="A143" t="s">
        <v>665</v>
      </c>
    </row>
    <row r="144" spans="1:2" x14ac:dyDescent="0.35">
      <c r="A144" t="s">
        <v>667</v>
      </c>
    </row>
    <row r="145" spans="1:1" x14ac:dyDescent="0.35">
      <c r="A145" t="s">
        <v>668</v>
      </c>
    </row>
    <row r="146" spans="1:1" x14ac:dyDescent="0.35">
      <c r="A146" t="s">
        <v>670</v>
      </c>
    </row>
    <row r="147" spans="1:1" x14ac:dyDescent="0.35">
      <c r="A147" t="s">
        <v>404</v>
      </c>
    </row>
    <row r="148" spans="1:1" x14ac:dyDescent="0.35">
      <c r="A148" t="s">
        <v>631</v>
      </c>
    </row>
    <row r="149" spans="1:1" x14ac:dyDescent="0.35">
      <c r="A149" t="s">
        <v>633</v>
      </c>
    </row>
    <row r="150" spans="1:1" x14ac:dyDescent="0.35">
      <c r="A150" t="s">
        <v>406</v>
      </c>
    </row>
    <row r="151" spans="1:1" x14ac:dyDescent="0.35">
      <c r="A151" t="s">
        <v>674</v>
      </c>
    </row>
    <row r="152" spans="1:1" x14ac:dyDescent="0.35">
      <c r="A152" t="s">
        <v>623</v>
      </c>
    </row>
    <row r="153" spans="1:1" x14ac:dyDescent="0.35">
      <c r="A153" t="s">
        <v>622</v>
      </c>
    </row>
    <row r="154" spans="1:1" x14ac:dyDescent="0.35">
      <c r="A154" t="s">
        <v>688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heetViews>
  <sheetFormatPr defaultRowHeight="14.5" x14ac:dyDescent="0.3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filterMode="1"/>
  <dimension ref="C15:O700"/>
  <sheetViews>
    <sheetView topLeftCell="E1" workbookViewId="0">
      <selection activeCell="W4" sqref="W4"/>
    </sheetView>
  </sheetViews>
  <sheetFormatPr defaultRowHeight="14.5" x14ac:dyDescent="0.35"/>
  <cols>
    <col min="3" max="4" width="9.1796875" style="82"/>
    <col min="5" max="9" width="9.1796875" style="6"/>
    <col min="10" max="10" width="9.1796875" style="82"/>
    <col min="11" max="12" width="9.1796875" style="6"/>
    <col min="14" max="14" width="13.453125" style="82" customWidth="1"/>
    <col min="15" max="15" width="12.54296875" style="82" customWidth="1"/>
  </cols>
  <sheetData>
    <row r="15" spans="3:15" x14ac:dyDescent="0.35">
      <c r="H15" s="6" t="s">
        <v>322</v>
      </c>
      <c r="I15" s="6" t="s">
        <v>316</v>
      </c>
      <c r="J15" s="82" t="s">
        <v>309</v>
      </c>
      <c r="K15" s="6" t="s">
        <v>310</v>
      </c>
      <c r="L15" s="6" t="s">
        <v>312</v>
      </c>
    </row>
    <row r="16" spans="3:15" x14ac:dyDescent="0.35">
      <c r="C16" s="82" t="s">
        <v>307</v>
      </c>
      <c r="D16" s="82" t="s">
        <v>46</v>
      </c>
      <c r="E16" s="6" t="s">
        <v>313</v>
      </c>
      <c r="F16" s="6" t="s">
        <v>60</v>
      </c>
      <c r="G16" s="6" t="s">
        <v>314</v>
      </c>
      <c r="H16" s="6" t="s">
        <v>315</v>
      </c>
      <c r="I16" s="6" t="s">
        <v>315</v>
      </c>
      <c r="J16" s="82" t="s">
        <v>308</v>
      </c>
      <c r="K16" s="6" t="s">
        <v>317</v>
      </c>
      <c r="L16" s="6" t="s">
        <v>311</v>
      </c>
      <c r="M16" s="6" t="s">
        <v>320</v>
      </c>
      <c r="N16" s="6" t="s">
        <v>321</v>
      </c>
      <c r="O16" s="6" t="s">
        <v>323</v>
      </c>
    </row>
    <row r="17" spans="3:15" hidden="1" x14ac:dyDescent="0.35">
      <c r="C17" s="82">
        <v>1</v>
      </c>
      <c r="D17" s="36">
        <v>0.25</v>
      </c>
      <c r="E17" s="6">
        <v>100</v>
      </c>
      <c r="F17" s="6">
        <v>100</v>
      </c>
      <c r="G17" s="6">
        <v>101</v>
      </c>
      <c r="H17" s="6">
        <v>3.2</v>
      </c>
      <c r="I17" s="6">
        <v>2.6</v>
      </c>
      <c r="J17" s="36">
        <f>(F17-E17)/E17</f>
        <v>0</v>
      </c>
      <c r="K17" s="6">
        <f>G17-E17</f>
        <v>1</v>
      </c>
      <c r="L17" s="6">
        <f t="shared" ref="L17:L55" si="0">H17-C17</f>
        <v>2.2000000000000002</v>
      </c>
      <c r="M17" s="36">
        <f>K17/E17</f>
        <v>0.01</v>
      </c>
      <c r="N17" s="82">
        <f>IF(M17=J17,1,0)</f>
        <v>0</v>
      </c>
      <c r="O17" s="82">
        <f>IF(J17=0,0,IF(M17/J17=2,1,0))</f>
        <v>0</v>
      </c>
    </row>
    <row r="18" spans="3:15" hidden="1" x14ac:dyDescent="0.35">
      <c r="C18" s="82">
        <v>1</v>
      </c>
      <c r="D18" s="36">
        <v>0.25</v>
      </c>
      <c r="E18" s="6">
        <v>100</v>
      </c>
      <c r="F18" s="6">
        <v>100</v>
      </c>
      <c r="G18" s="6">
        <v>102</v>
      </c>
      <c r="H18" s="6">
        <v>5.9</v>
      </c>
      <c r="I18" s="6">
        <v>4.2</v>
      </c>
      <c r="J18" s="36">
        <f t="shared" ref="J18:J81" si="1">(F18-E18)/E18</f>
        <v>0</v>
      </c>
      <c r="K18" s="6">
        <f t="shared" ref="K18:K55" si="2">G18-E18</f>
        <v>2</v>
      </c>
      <c r="L18" s="6">
        <f t="shared" si="0"/>
        <v>4.9000000000000004</v>
      </c>
      <c r="M18" s="36">
        <f t="shared" ref="M18:M81" si="3">K18/E18</f>
        <v>0.02</v>
      </c>
      <c r="N18" s="82">
        <f t="shared" ref="N18:N81" si="4">IF(M18=J18,1,0)</f>
        <v>0</v>
      </c>
      <c r="O18" s="82">
        <f t="shared" ref="O18:O81" si="5">IF(J18=0,0,IF(M18/J18=2,1,0))</f>
        <v>0</v>
      </c>
    </row>
    <row r="19" spans="3:15" hidden="1" x14ac:dyDescent="0.35">
      <c r="C19" s="82">
        <v>1</v>
      </c>
      <c r="D19" s="36">
        <v>0.25</v>
      </c>
      <c r="E19" s="6">
        <v>100</v>
      </c>
      <c r="F19" s="6">
        <v>100</v>
      </c>
      <c r="G19" s="6">
        <v>103</v>
      </c>
      <c r="H19" s="6">
        <v>9.1</v>
      </c>
      <c r="I19" s="6">
        <v>5.9</v>
      </c>
      <c r="J19" s="36">
        <f t="shared" si="1"/>
        <v>0</v>
      </c>
      <c r="K19" s="6">
        <f t="shared" si="2"/>
        <v>3</v>
      </c>
      <c r="L19" s="6">
        <f t="shared" si="0"/>
        <v>8.1</v>
      </c>
      <c r="M19" s="36">
        <f t="shared" si="3"/>
        <v>0.03</v>
      </c>
      <c r="N19" s="82">
        <f t="shared" si="4"/>
        <v>0</v>
      </c>
      <c r="O19" s="82">
        <f t="shared" si="5"/>
        <v>0</v>
      </c>
    </row>
    <row r="20" spans="3:15" hidden="1" x14ac:dyDescent="0.35">
      <c r="C20" s="82">
        <v>1</v>
      </c>
      <c r="D20" s="36">
        <v>0.25</v>
      </c>
      <c r="E20" s="6">
        <v>100</v>
      </c>
      <c r="F20" s="6">
        <v>100</v>
      </c>
      <c r="G20" s="6">
        <v>104</v>
      </c>
      <c r="H20" s="6">
        <v>12.6</v>
      </c>
      <c r="I20" s="6">
        <v>7.7</v>
      </c>
      <c r="J20" s="36">
        <f t="shared" si="1"/>
        <v>0</v>
      </c>
      <c r="K20" s="6">
        <f t="shared" si="2"/>
        <v>4</v>
      </c>
      <c r="L20" s="6">
        <f t="shared" si="0"/>
        <v>11.6</v>
      </c>
      <c r="M20" s="36">
        <f t="shared" si="3"/>
        <v>0.04</v>
      </c>
      <c r="N20" s="82">
        <f t="shared" si="4"/>
        <v>0</v>
      </c>
      <c r="O20" s="82">
        <f t="shared" si="5"/>
        <v>0</v>
      </c>
    </row>
    <row r="21" spans="3:15" hidden="1" x14ac:dyDescent="0.35">
      <c r="C21" s="82">
        <v>1</v>
      </c>
      <c r="D21" s="36">
        <v>0.25</v>
      </c>
      <c r="E21" s="6">
        <v>100</v>
      </c>
      <c r="F21" s="6">
        <v>100</v>
      </c>
      <c r="G21" s="6">
        <v>105</v>
      </c>
      <c r="H21" s="6">
        <v>16.399999999999999</v>
      </c>
      <c r="I21" s="6">
        <v>9.6</v>
      </c>
      <c r="J21" s="36">
        <f t="shared" si="1"/>
        <v>0</v>
      </c>
      <c r="K21" s="6">
        <f t="shared" si="2"/>
        <v>5</v>
      </c>
      <c r="L21" s="6">
        <f t="shared" si="0"/>
        <v>15.399999999999999</v>
      </c>
      <c r="M21" s="36">
        <f t="shared" si="3"/>
        <v>0.05</v>
      </c>
      <c r="N21" s="82">
        <f t="shared" si="4"/>
        <v>0</v>
      </c>
      <c r="O21" s="82">
        <f t="shared" si="5"/>
        <v>0</v>
      </c>
    </row>
    <row r="22" spans="3:15" hidden="1" x14ac:dyDescent="0.35">
      <c r="C22" s="82">
        <v>1</v>
      </c>
      <c r="D22" s="36">
        <v>0.25</v>
      </c>
      <c r="E22" s="6">
        <v>100</v>
      </c>
      <c r="F22" s="6">
        <v>100</v>
      </c>
      <c r="G22" s="6">
        <v>106</v>
      </c>
      <c r="H22" s="6">
        <v>20.5</v>
      </c>
      <c r="I22" s="6">
        <v>11.5</v>
      </c>
      <c r="J22" s="36">
        <f t="shared" si="1"/>
        <v>0</v>
      </c>
      <c r="K22" s="6">
        <f t="shared" si="2"/>
        <v>6</v>
      </c>
      <c r="L22" s="6">
        <f t="shared" si="0"/>
        <v>19.5</v>
      </c>
      <c r="M22" s="36">
        <f t="shared" si="3"/>
        <v>0.06</v>
      </c>
      <c r="N22" s="82">
        <f t="shared" si="4"/>
        <v>0</v>
      </c>
      <c r="O22" s="82">
        <f t="shared" si="5"/>
        <v>0</v>
      </c>
    </row>
    <row r="23" spans="3:15" hidden="1" x14ac:dyDescent="0.35">
      <c r="C23" s="82">
        <v>1</v>
      </c>
      <c r="D23" s="36">
        <v>0.25</v>
      </c>
      <c r="E23" s="6">
        <v>100</v>
      </c>
      <c r="F23" s="6">
        <v>100</v>
      </c>
      <c r="G23" s="6">
        <v>107</v>
      </c>
      <c r="H23" s="6">
        <v>24.9</v>
      </c>
      <c r="I23" s="6">
        <v>13.5</v>
      </c>
      <c r="J23" s="36">
        <f t="shared" si="1"/>
        <v>0</v>
      </c>
      <c r="K23" s="6">
        <f t="shared" si="2"/>
        <v>7</v>
      </c>
      <c r="L23" s="6">
        <f t="shared" si="0"/>
        <v>23.9</v>
      </c>
      <c r="M23" s="36">
        <f t="shared" si="3"/>
        <v>7.0000000000000007E-2</v>
      </c>
      <c r="N23" s="82">
        <f t="shared" si="4"/>
        <v>0</v>
      </c>
      <c r="O23" s="82">
        <f t="shared" si="5"/>
        <v>0</v>
      </c>
    </row>
    <row r="24" spans="3:15" hidden="1" x14ac:dyDescent="0.35">
      <c r="C24" s="82">
        <v>1</v>
      </c>
      <c r="D24" s="36">
        <v>0.25</v>
      </c>
      <c r="E24" s="6">
        <v>100</v>
      </c>
      <c r="F24" s="6">
        <v>100</v>
      </c>
      <c r="G24" s="6">
        <v>108</v>
      </c>
      <c r="H24" s="6">
        <v>29.5</v>
      </c>
      <c r="I24" s="6">
        <v>15.4</v>
      </c>
      <c r="J24" s="36">
        <f t="shared" si="1"/>
        <v>0</v>
      </c>
      <c r="K24" s="6">
        <f t="shared" si="2"/>
        <v>8</v>
      </c>
      <c r="L24" s="6">
        <f t="shared" si="0"/>
        <v>28.5</v>
      </c>
      <c r="M24" s="36">
        <f t="shared" si="3"/>
        <v>0.08</v>
      </c>
      <c r="N24" s="82">
        <f t="shared" si="4"/>
        <v>0</v>
      </c>
      <c r="O24" s="82">
        <f t="shared" si="5"/>
        <v>0</v>
      </c>
    </row>
    <row r="25" spans="3:15" hidden="1" x14ac:dyDescent="0.35">
      <c r="C25" s="82">
        <v>1</v>
      </c>
      <c r="D25" s="36">
        <v>0.25</v>
      </c>
      <c r="E25" s="6">
        <v>100</v>
      </c>
      <c r="F25" s="6">
        <v>100</v>
      </c>
      <c r="G25" s="6">
        <v>109</v>
      </c>
      <c r="H25" s="6">
        <v>34.4</v>
      </c>
      <c r="J25" s="36">
        <f t="shared" si="1"/>
        <v>0</v>
      </c>
      <c r="K25" s="6">
        <f t="shared" si="2"/>
        <v>9</v>
      </c>
      <c r="L25" s="6">
        <f t="shared" si="0"/>
        <v>33.4</v>
      </c>
      <c r="M25" s="36">
        <f t="shared" si="3"/>
        <v>0.09</v>
      </c>
      <c r="N25" s="82">
        <f t="shared" si="4"/>
        <v>0</v>
      </c>
      <c r="O25" s="82">
        <f t="shared" si="5"/>
        <v>0</v>
      </c>
    </row>
    <row r="26" spans="3:15" hidden="1" x14ac:dyDescent="0.35">
      <c r="C26" s="82">
        <v>1</v>
      </c>
      <c r="D26" s="36">
        <v>0.25</v>
      </c>
      <c r="E26" s="6">
        <v>100</v>
      </c>
      <c r="F26" s="6">
        <v>100</v>
      </c>
      <c r="G26" s="6">
        <v>110</v>
      </c>
      <c r="H26" s="6">
        <v>39.4</v>
      </c>
      <c r="J26" s="36">
        <f t="shared" si="1"/>
        <v>0</v>
      </c>
      <c r="K26" s="6">
        <f t="shared" si="2"/>
        <v>10</v>
      </c>
      <c r="L26" s="6">
        <f t="shared" si="0"/>
        <v>38.4</v>
      </c>
      <c r="M26" s="36">
        <f t="shared" si="3"/>
        <v>0.1</v>
      </c>
      <c r="N26" s="82">
        <f t="shared" si="4"/>
        <v>0</v>
      </c>
      <c r="O26" s="82">
        <f t="shared" si="5"/>
        <v>0</v>
      </c>
    </row>
    <row r="27" spans="3:15" hidden="1" x14ac:dyDescent="0.35">
      <c r="C27" s="82">
        <v>1</v>
      </c>
      <c r="D27" s="36">
        <v>0.25</v>
      </c>
      <c r="E27" s="6">
        <v>100</v>
      </c>
      <c r="F27" s="6">
        <v>100</v>
      </c>
      <c r="G27" s="6">
        <v>115</v>
      </c>
      <c r="H27" s="6">
        <v>67.400000000000006</v>
      </c>
      <c r="J27" s="36">
        <f t="shared" si="1"/>
        <v>0</v>
      </c>
      <c r="K27" s="6">
        <f t="shared" si="2"/>
        <v>15</v>
      </c>
      <c r="L27" s="6">
        <f t="shared" si="0"/>
        <v>66.400000000000006</v>
      </c>
      <c r="M27" s="36">
        <f t="shared" si="3"/>
        <v>0.15</v>
      </c>
      <c r="N27" s="82">
        <f t="shared" si="4"/>
        <v>0</v>
      </c>
      <c r="O27" s="82">
        <f t="shared" si="5"/>
        <v>0</v>
      </c>
    </row>
    <row r="28" spans="3:15" hidden="1" x14ac:dyDescent="0.35">
      <c r="C28" s="82">
        <v>1</v>
      </c>
      <c r="D28" s="36">
        <v>0.25</v>
      </c>
      <c r="E28" s="6">
        <v>100</v>
      </c>
      <c r="F28" s="6">
        <v>100</v>
      </c>
      <c r="G28" s="6">
        <v>120</v>
      </c>
      <c r="H28" s="6">
        <v>99.1</v>
      </c>
      <c r="J28" s="36">
        <f t="shared" si="1"/>
        <v>0</v>
      </c>
      <c r="K28" s="6">
        <f t="shared" si="2"/>
        <v>20</v>
      </c>
      <c r="L28" s="6">
        <f t="shared" si="0"/>
        <v>98.1</v>
      </c>
      <c r="M28" s="36">
        <f t="shared" si="3"/>
        <v>0.2</v>
      </c>
      <c r="N28" s="82">
        <f t="shared" si="4"/>
        <v>0</v>
      </c>
      <c r="O28" s="82">
        <f t="shared" si="5"/>
        <v>0</v>
      </c>
    </row>
    <row r="29" spans="3:15" hidden="1" x14ac:dyDescent="0.35">
      <c r="C29" s="82">
        <v>1</v>
      </c>
      <c r="D29" s="36">
        <v>0.25</v>
      </c>
      <c r="E29" s="6">
        <v>100</v>
      </c>
      <c r="F29" s="6">
        <v>100</v>
      </c>
      <c r="G29" s="6">
        <v>125</v>
      </c>
      <c r="H29" s="6">
        <v>133.5</v>
      </c>
      <c r="J29" s="36">
        <f t="shared" si="1"/>
        <v>0</v>
      </c>
      <c r="K29" s="6">
        <f t="shared" si="2"/>
        <v>25</v>
      </c>
      <c r="L29" s="6">
        <f t="shared" si="0"/>
        <v>132.5</v>
      </c>
      <c r="M29" s="36">
        <f t="shared" si="3"/>
        <v>0.25</v>
      </c>
      <c r="N29" s="82">
        <f t="shared" si="4"/>
        <v>0</v>
      </c>
      <c r="O29" s="82">
        <f t="shared" si="5"/>
        <v>0</v>
      </c>
    </row>
    <row r="30" spans="3:15" hidden="1" x14ac:dyDescent="0.35">
      <c r="C30" s="82">
        <v>1</v>
      </c>
      <c r="D30" s="36">
        <v>0.25</v>
      </c>
      <c r="E30" s="6">
        <v>100</v>
      </c>
      <c r="F30" s="6">
        <v>101</v>
      </c>
      <c r="G30" s="6">
        <v>101</v>
      </c>
      <c r="H30" s="6">
        <v>5</v>
      </c>
      <c r="J30" s="36">
        <f t="shared" si="1"/>
        <v>0.01</v>
      </c>
      <c r="K30" s="6">
        <f t="shared" si="2"/>
        <v>1</v>
      </c>
      <c r="L30" s="6">
        <f t="shared" si="0"/>
        <v>4</v>
      </c>
      <c r="M30" s="36">
        <f t="shared" si="3"/>
        <v>0.01</v>
      </c>
      <c r="N30" s="82">
        <f t="shared" si="4"/>
        <v>1</v>
      </c>
      <c r="O30" s="82">
        <f t="shared" si="5"/>
        <v>0</v>
      </c>
    </row>
    <row r="31" spans="3:15" hidden="1" x14ac:dyDescent="0.35">
      <c r="C31" s="82">
        <v>1</v>
      </c>
      <c r="D31" s="36">
        <v>0.25</v>
      </c>
      <c r="E31" s="6">
        <v>100</v>
      </c>
      <c r="F31" s="6">
        <v>101</v>
      </c>
      <c r="G31" s="6">
        <v>102</v>
      </c>
      <c r="H31" s="6">
        <v>9.4</v>
      </c>
      <c r="J31" s="36">
        <f t="shared" si="1"/>
        <v>0.01</v>
      </c>
      <c r="K31" s="6">
        <f t="shared" si="2"/>
        <v>2</v>
      </c>
      <c r="L31" s="6">
        <f t="shared" si="0"/>
        <v>8.4</v>
      </c>
      <c r="M31" s="36">
        <f t="shared" si="3"/>
        <v>0.02</v>
      </c>
      <c r="N31" s="82">
        <f t="shared" si="4"/>
        <v>0</v>
      </c>
      <c r="O31" s="82">
        <f t="shared" si="5"/>
        <v>1</v>
      </c>
    </row>
    <row r="32" spans="3:15" hidden="1" x14ac:dyDescent="0.35">
      <c r="C32" s="82">
        <v>1</v>
      </c>
      <c r="D32" s="36">
        <v>0.25</v>
      </c>
      <c r="E32" s="6">
        <v>100</v>
      </c>
      <c r="F32" s="6">
        <v>101</v>
      </c>
      <c r="G32" s="6">
        <v>103</v>
      </c>
      <c r="H32" s="6">
        <v>14.4</v>
      </c>
      <c r="J32" s="36">
        <f t="shared" si="1"/>
        <v>0.01</v>
      </c>
      <c r="K32" s="6">
        <f t="shared" si="2"/>
        <v>3</v>
      </c>
      <c r="L32" s="6">
        <f t="shared" si="0"/>
        <v>13.4</v>
      </c>
      <c r="M32" s="36">
        <f t="shared" si="3"/>
        <v>0.03</v>
      </c>
      <c r="N32" s="82">
        <f t="shared" si="4"/>
        <v>0</v>
      </c>
      <c r="O32" s="82">
        <f t="shared" si="5"/>
        <v>0</v>
      </c>
    </row>
    <row r="33" spans="3:15" hidden="1" x14ac:dyDescent="0.35">
      <c r="C33" s="82">
        <v>1</v>
      </c>
      <c r="D33" s="36">
        <v>0.25</v>
      </c>
      <c r="E33" s="6">
        <v>100</v>
      </c>
      <c r="F33" s="6">
        <v>101</v>
      </c>
      <c r="G33" s="6">
        <v>104</v>
      </c>
      <c r="H33" s="6">
        <v>19.7</v>
      </c>
      <c r="J33" s="36">
        <f t="shared" si="1"/>
        <v>0.01</v>
      </c>
      <c r="K33" s="6">
        <f t="shared" si="2"/>
        <v>4</v>
      </c>
      <c r="L33" s="6">
        <f t="shared" si="0"/>
        <v>18.7</v>
      </c>
      <c r="M33" s="36">
        <f t="shared" si="3"/>
        <v>0.04</v>
      </c>
      <c r="N33" s="82">
        <f t="shared" si="4"/>
        <v>0</v>
      </c>
      <c r="O33" s="82">
        <f t="shared" si="5"/>
        <v>0</v>
      </c>
    </row>
    <row r="34" spans="3:15" hidden="1" x14ac:dyDescent="0.35">
      <c r="C34" s="82">
        <v>1</v>
      </c>
      <c r="D34" s="36">
        <v>0.25</v>
      </c>
      <c r="E34" s="6">
        <v>100</v>
      </c>
      <c r="F34" s="6">
        <v>101</v>
      </c>
      <c r="G34" s="6">
        <v>105</v>
      </c>
      <c r="H34" s="6">
        <v>25.5</v>
      </c>
      <c r="J34" s="36">
        <f t="shared" si="1"/>
        <v>0.01</v>
      </c>
      <c r="K34" s="6">
        <f t="shared" si="2"/>
        <v>5</v>
      </c>
      <c r="L34" s="6">
        <f t="shared" si="0"/>
        <v>24.5</v>
      </c>
      <c r="M34" s="36">
        <f t="shared" si="3"/>
        <v>0.05</v>
      </c>
      <c r="N34" s="82">
        <f t="shared" si="4"/>
        <v>0</v>
      </c>
      <c r="O34" s="82">
        <f t="shared" si="5"/>
        <v>0</v>
      </c>
    </row>
    <row r="35" spans="3:15" hidden="1" x14ac:dyDescent="0.35">
      <c r="C35" s="82">
        <v>1</v>
      </c>
      <c r="D35" s="36">
        <v>0.25</v>
      </c>
      <c r="E35" s="6">
        <v>100</v>
      </c>
      <c r="F35" s="6">
        <v>101</v>
      </c>
      <c r="G35" s="6">
        <v>106</v>
      </c>
      <c r="H35" s="6">
        <v>31.7</v>
      </c>
      <c r="J35" s="36">
        <f t="shared" si="1"/>
        <v>0.01</v>
      </c>
      <c r="K35" s="6">
        <f t="shared" si="2"/>
        <v>6</v>
      </c>
      <c r="L35" s="6">
        <f t="shared" si="0"/>
        <v>30.7</v>
      </c>
      <c r="M35" s="36">
        <f t="shared" si="3"/>
        <v>0.06</v>
      </c>
      <c r="N35" s="82">
        <f t="shared" si="4"/>
        <v>0</v>
      </c>
      <c r="O35" s="82">
        <f t="shared" si="5"/>
        <v>0</v>
      </c>
    </row>
    <row r="36" spans="3:15" hidden="1" x14ac:dyDescent="0.35">
      <c r="C36" s="82">
        <v>1</v>
      </c>
      <c r="D36" s="36">
        <v>0.25</v>
      </c>
      <c r="E36" s="6">
        <v>100</v>
      </c>
      <c r="F36" s="6">
        <v>101</v>
      </c>
      <c r="G36" s="6">
        <v>107</v>
      </c>
      <c r="H36" s="6">
        <v>38.1</v>
      </c>
      <c r="J36" s="36">
        <f t="shared" si="1"/>
        <v>0.01</v>
      </c>
      <c r="K36" s="6">
        <f t="shared" si="2"/>
        <v>7</v>
      </c>
      <c r="L36" s="6">
        <f t="shared" si="0"/>
        <v>37.1</v>
      </c>
      <c r="M36" s="36">
        <f t="shared" si="3"/>
        <v>7.0000000000000007E-2</v>
      </c>
      <c r="N36" s="82">
        <f t="shared" si="4"/>
        <v>0</v>
      </c>
      <c r="O36" s="82">
        <f t="shared" si="5"/>
        <v>0</v>
      </c>
    </row>
    <row r="37" spans="3:15" hidden="1" x14ac:dyDescent="0.35">
      <c r="C37" s="82">
        <v>1</v>
      </c>
      <c r="D37" s="36">
        <v>0.25</v>
      </c>
      <c r="E37" s="6">
        <v>100</v>
      </c>
      <c r="F37" s="6">
        <v>101</v>
      </c>
      <c r="G37" s="6">
        <v>108</v>
      </c>
      <c r="H37" s="6">
        <v>44.9</v>
      </c>
      <c r="J37" s="36">
        <f t="shared" si="1"/>
        <v>0.01</v>
      </c>
      <c r="K37" s="6">
        <f t="shared" si="2"/>
        <v>8</v>
      </c>
      <c r="L37" s="6">
        <f t="shared" si="0"/>
        <v>43.9</v>
      </c>
      <c r="M37" s="36">
        <f t="shared" si="3"/>
        <v>0.08</v>
      </c>
      <c r="N37" s="82">
        <f t="shared" si="4"/>
        <v>0</v>
      </c>
      <c r="O37" s="82">
        <f t="shared" si="5"/>
        <v>0</v>
      </c>
    </row>
    <row r="38" spans="3:15" hidden="1" x14ac:dyDescent="0.35">
      <c r="C38" s="82">
        <v>1</v>
      </c>
      <c r="D38" s="36">
        <v>0.25</v>
      </c>
      <c r="E38" s="6">
        <v>100</v>
      </c>
      <c r="F38" s="6">
        <v>101</v>
      </c>
      <c r="G38" s="6">
        <v>109</v>
      </c>
      <c r="H38" s="6">
        <v>51.9</v>
      </c>
      <c r="J38" s="36">
        <f t="shared" si="1"/>
        <v>0.01</v>
      </c>
      <c r="K38" s="6">
        <f t="shared" si="2"/>
        <v>9</v>
      </c>
      <c r="L38" s="6">
        <f t="shared" si="0"/>
        <v>50.9</v>
      </c>
      <c r="M38" s="36">
        <f t="shared" si="3"/>
        <v>0.09</v>
      </c>
      <c r="N38" s="82">
        <f t="shared" si="4"/>
        <v>0</v>
      </c>
      <c r="O38" s="82">
        <f t="shared" si="5"/>
        <v>0</v>
      </c>
    </row>
    <row r="39" spans="3:15" hidden="1" x14ac:dyDescent="0.35">
      <c r="C39" s="82">
        <v>1</v>
      </c>
      <c r="D39" s="36">
        <v>0.25</v>
      </c>
      <c r="E39" s="6">
        <v>100</v>
      </c>
      <c r="F39" s="6">
        <v>101</v>
      </c>
      <c r="G39" s="6">
        <v>110</v>
      </c>
      <c r="H39" s="6">
        <v>59.2</v>
      </c>
      <c r="J39" s="36">
        <f t="shared" si="1"/>
        <v>0.01</v>
      </c>
      <c r="K39" s="6">
        <f t="shared" si="2"/>
        <v>10</v>
      </c>
      <c r="L39" s="6">
        <f t="shared" si="0"/>
        <v>58.2</v>
      </c>
      <c r="M39" s="36">
        <f t="shared" si="3"/>
        <v>0.1</v>
      </c>
      <c r="N39" s="82">
        <f t="shared" si="4"/>
        <v>0</v>
      </c>
      <c r="O39" s="82">
        <f t="shared" si="5"/>
        <v>0</v>
      </c>
    </row>
    <row r="40" spans="3:15" hidden="1" x14ac:dyDescent="0.35">
      <c r="C40" s="82">
        <v>1</v>
      </c>
      <c r="D40" s="36">
        <v>0.25</v>
      </c>
      <c r="E40" s="6">
        <v>100</v>
      </c>
      <c r="F40" s="6">
        <v>101</v>
      </c>
      <c r="G40" s="6">
        <v>115</v>
      </c>
      <c r="H40" s="6">
        <v>99.8</v>
      </c>
      <c r="J40" s="36">
        <f t="shared" si="1"/>
        <v>0.01</v>
      </c>
      <c r="K40" s="6">
        <f t="shared" si="2"/>
        <v>15</v>
      </c>
      <c r="L40" s="6">
        <f t="shared" si="0"/>
        <v>98.8</v>
      </c>
      <c r="M40" s="36">
        <f t="shared" si="3"/>
        <v>0.15</v>
      </c>
      <c r="N40" s="82">
        <f t="shared" si="4"/>
        <v>0</v>
      </c>
      <c r="O40" s="82">
        <f t="shared" si="5"/>
        <v>0</v>
      </c>
    </row>
    <row r="41" spans="3:15" hidden="1" x14ac:dyDescent="0.35">
      <c r="C41" s="82">
        <v>1</v>
      </c>
      <c r="D41" s="36">
        <v>0.25</v>
      </c>
      <c r="E41" s="6">
        <v>100</v>
      </c>
      <c r="F41" s="6">
        <v>101</v>
      </c>
      <c r="G41" s="6">
        <v>120</v>
      </c>
      <c r="H41" s="6">
        <v>142.5</v>
      </c>
      <c r="J41" s="36">
        <f t="shared" si="1"/>
        <v>0.01</v>
      </c>
      <c r="K41" s="6">
        <f t="shared" si="2"/>
        <v>20</v>
      </c>
      <c r="L41" s="6">
        <f t="shared" si="0"/>
        <v>141.5</v>
      </c>
      <c r="M41" s="36">
        <f t="shared" si="3"/>
        <v>0.2</v>
      </c>
      <c r="N41" s="82">
        <f t="shared" si="4"/>
        <v>0</v>
      </c>
      <c r="O41" s="82">
        <f t="shared" si="5"/>
        <v>0</v>
      </c>
    </row>
    <row r="42" spans="3:15" hidden="1" x14ac:dyDescent="0.35">
      <c r="C42" s="82">
        <v>1</v>
      </c>
      <c r="D42" s="36">
        <v>0.25</v>
      </c>
      <c r="E42" s="6">
        <v>100</v>
      </c>
      <c r="F42" s="6">
        <v>101</v>
      </c>
      <c r="G42" s="6">
        <v>125</v>
      </c>
      <c r="H42" s="6">
        <v>189.4</v>
      </c>
      <c r="J42" s="36">
        <f t="shared" si="1"/>
        <v>0.01</v>
      </c>
      <c r="K42" s="6">
        <f t="shared" si="2"/>
        <v>25</v>
      </c>
      <c r="L42" s="6">
        <f t="shared" si="0"/>
        <v>188.4</v>
      </c>
      <c r="M42" s="36">
        <f t="shared" si="3"/>
        <v>0.25</v>
      </c>
      <c r="N42" s="82">
        <f t="shared" si="4"/>
        <v>0</v>
      </c>
      <c r="O42" s="82">
        <f t="shared" si="5"/>
        <v>0</v>
      </c>
    </row>
    <row r="43" spans="3:15" hidden="1" x14ac:dyDescent="0.35">
      <c r="C43" s="82">
        <v>1</v>
      </c>
      <c r="D43" s="36">
        <v>0.25</v>
      </c>
      <c r="E43" s="6">
        <v>100</v>
      </c>
      <c r="F43" s="6">
        <v>102</v>
      </c>
      <c r="G43" s="6">
        <v>101</v>
      </c>
      <c r="H43" s="6">
        <v>7.9</v>
      </c>
      <c r="J43" s="36">
        <f t="shared" si="1"/>
        <v>0.02</v>
      </c>
      <c r="K43" s="6">
        <f t="shared" si="2"/>
        <v>1</v>
      </c>
      <c r="L43" s="6">
        <f t="shared" si="0"/>
        <v>6.9</v>
      </c>
      <c r="M43" s="36">
        <f t="shared" si="3"/>
        <v>0.01</v>
      </c>
      <c r="N43" s="82">
        <f t="shared" si="4"/>
        <v>0</v>
      </c>
      <c r="O43" s="82">
        <f t="shared" si="5"/>
        <v>0</v>
      </c>
    </row>
    <row r="44" spans="3:15" hidden="1" x14ac:dyDescent="0.35">
      <c r="C44" s="82">
        <v>1</v>
      </c>
      <c r="D44" s="36">
        <v>0.25</v>
      </c>
      <c r="E44" s="6">
        <v>100</v>
      </c>
      <c r="F44" s="6">
        <v>102</v>
      </c>
      <c r="G44" s="6">
        <v>102</v>
      </c>
      <c r="H44" s="6">
        <v>14.7</v>
      </c>
      <c r="J44" s="36">
        <f t="shared" si="1"/>
        <v>0.02</v>
      </c>
      <c r="K44" s="6">
        <f t="shared" si="2"/>
        <v>2</v>
      </c>
      <c r="L44" s="6">
        <f t="shared" si="0"/>
        <v>13.7</v>
      </c>
      <c r="M44" s="36">
        <f t="shared" si="3"/>
        <v>0.02</v>
      </c>
      <c r="N44" s="82">
        <f t="shared" si="4"/>
        <v>1</v>
      </c>
      <c r="O44" s="82">
        <f t="shared" si="5"/>
        <v>0</v>
      </c>
    </row>
    <row r="45" spans="3:15" hidden="1" x14ac:dyDescent="0.35">
      <c r="C45" s="82">
        <v>1</v>
      </c>
      <c r="D45" s="36">
        <v>0.25</v>
      </c>
      <c r="E45" s="6">
        <v>100</v>
      </c>
      <c r="F45" s="6">
        <v>102</v>
      </c>
      <c r="G45" s="6">
        <v>103</v>
      </c>
      <c r="H45" s="6">
        <v>22</v>
      </c>
      <c r="J45" s="36">
        <f t="shared" si="1"/>
        <v>0.02</v>
      </c>
      <c r="K45" s="6">
        <f t="shared" si="2"/>
        <v>3</v>
      </c>
      <c r="L45" s="6">
        <f t="shared" si="0"/>
        <v>21</v>
      </c>
      <c r="M45" s="36">
        <f t="shared" si="3"/>
        <v>0.03</v>
      </c>
      <c r="N45" s="82">
        <f t="shared" si="4"/>
        <v>0</v>
      </c>
      <c r="O45" s="82">
        <f t="shared" si="5"/>
        <v>0</v>
      </c>
    </row>
    <row r="46" spans="3:15" hidden="1" x14ac:dyDescent="0.35">
      <c r="C46" s="82">
        <v>1</v>
      </c>
      <c r="D46" s="36">
        <v>0.25</v>
      </c>
      <c r="E46" s="6">
        <v>100</v>
      </c>
      <c r="F46" s="6">
        <v>102</v>
      </c>
      <c r="G46" s="6">
        <v>104</v>
      </c>
      <c r="H46" s="6">
        <v>29.7</v>
      </c>
      <c r="J46" s="36">
        <f t="shared" si="1"/>
        <v>0.02</v>
      </c>
      <c r="K46" s="6">
        <f t="shared" si="2"/>
        <v>4</v>
      </c>
      <c r="L46" s="6">
        <f t="shared" si="0"/>
        <v>28.7</v>
      </c>
      <c r="M46" s="36">
        <f t="shared" si="3"/>
        <v>0.04</v>
      </c>
      <c r="N46" s="82">
        <f t="shared" si="4"/>
        <v>0</v>
      </c>
      <c r="O46" s="82">
        <f t="shared" si="5"/>
        <v>1</v>
      </c>
    </row>
    <row r="47" spans="3:15" hidden="1" x14ac:dyDescent="0.35">
      <c r="C47" s="82">
        <v>1</v>
      </c>
      <c r="D47" s="36">
        <v>0.25</v>
      </c>
      <c r="E47" s="6">
        <v>100</v>
      </c>
      <c r="F47" s="6">
        <v>102</v>
      </c>
      <c r="G47" s="6">
        <v>105</v>
      </c>
      <c r="H47" s="6">
        <v>37.9</v>
      </c>
      <c r="J47" s="36">
        <f t="shared" si="1"/>
        <v>0.02</v>
      </c>
      <c r="K47" s="6">
        <f t="shared" si="2"/>
        <v>5</v>
      </c>
      <c r="L47" s="6">
        <f t="shared" si="0"/>
        <v>36.9</v>
      </c>
      <c r="M47" s="36">
        <f t="shared" si="3"/>
        <v>0.05</v>
      </c>
      <c r="N47" s="82">
        <f t="shared" si="4"/>
        <v>0</v>
      </c>
      <c r="O47" s="82">
        <f t="shared" si="5"/>
        <v>0</v>
      </c>
    </row>
    <row r="48" spans="3:15" hidden="1" x14ac:dyDescent="0.35">
      <c r="C48" s="82">
        <v>1</v>
      </c>
      <c r="D48" s="36">
        <v>0.25</v>
      </c>
      <c r="E48" s="6">
        <v>100</v>
      </c>
      <c r="F48" s="6">
        <v>102</v>
      </c>
      <c r="G48" s="6">
        <v>106</v>
      </c>
      <c r="H48" s="6">
        <v>46.5</v>
      </c>
      <c r="J48" s="36">
        <f t="shared" si="1"/>
        <v>0.02</v>
      </c>
      <c r="K48" s="6">
        <f t="shared" si="2"/>
        <v>6</v>
      </c>
      <c r="L48" s="6">
        <f t="shared" si="0"/>
        <v>45.5</v>
      </c>
      <c r="M48" s="36">
        <f t="shared" si="3"/>
        <v>0.06</v>
      </c>
      <c r="N48" s="82">
        <f t="shared" si="4"/>
        <v>0</v>
      </c>
      <c r="O48" s="82">
        <f t="shared" si="5"/>
        <v>0</v>
      </c>
    </row>
    <row r="49" spans="3:15" hidden="1" x14ac:dyDescent="0.35">
      <c r="C49" s="82">
        <v>1</v>
      </c>
      <c r="D49" s="36">
        <v>0.25</v>
      </c>
      <c r="E49" s="6">
        <v>100</v>
      </c>
      <c r="F49" s="6">
        <v>102</v>
      </c>
      <c r="G49" s="6">
        <v>107</v>
      </c>
      <c r="H49" s="6">
        <v>55.4</v>
      </c>
      <c r="J49" s="36">
        <f t="shared" si="1"/>
        <v>0.02</v>
      </c>
      <c r="K49" s="6">
        <f t="shared" si="2"/>
        <v>7</v>
      </c>
      <c r="L49" s="6">
        <f t="shared" si="0"/>
        <v>54.4</v>
      </c>
      <c r="M49" s="36">
        <f t="shared" si="3"/>
        <v>7.0000000000000007E-2</v>
      </c>
      <c r="N49" s="82">
        <f t="shared" si="4"/>
        <v>0</v>
      </c>
      <c r="O49" s="82">
        <f t="shared" si="5"/>
        <v>0</v>
      </c>
    </row>
    <row r="50" spans="3:15" hidden="1" x14ac:dyDescent="0.35">
      <c r="C50" s="82">
        <v>1</v>
      </c>
      <c r="D50" s="36">
        <v>0.25</v>
      </c>
      <c r="E50" s="6">
        <v>100</v>
      </c>
      <c r="F50" s="6">
        <v>102</v>
      </c>
      <c r="G50" s="6">
        <v>108</v>
      </c>
      <c r="H50" s="6">
        <v>64.599999999999994</v>
      </c>
      <c r="J50" s="36">
        <f t="shared" si="1"/>
        <v>0.02</v>
      </c>
      <c r="K50" s="6">
        <f t="shared" si="2"/>
        <v>8</v>
      </c>
      <c r="L50" s="6">
        <f t="shared" si="0"/>
        <v>63.599999999999994</v>
      </c>
      <c r="M50" s="36">
        <f t="shared" si="3"/>
        <v>0.08</v>
      </c>
      <c r="N50" s="82">
        <f t="shared" si="4"/>
        <v>0</v>
      </c>
      <c r="O50" s="82">
        <f t="shared" si="5"/>
        <v>0</v>
      </c>
    </row>
    <row r="51" spans="3:15" hidden="1" x14ac:dyDescent="0.35">
      <c r="C51" s="82">
        <v>1</v>
      </c>
      <c r="D51" s="36">
        <v>0.25</v>
      </c>
      <c r="E51" s="6">
        <v>100</v>
      </c>
      <c r="F51" s="6">
        <v>102</v>
      </c>
      <c r="G51" s="6">
        <v>109</v>
      </c>
      <c r="H51" s="6">
        <v>74.2</v>
      </c>
      <c r="J51" s="36">
        <f t="shared" si="1"/>
        <v>0.02</v>
      </c>
      <c r="K51" s="6">
        <f t="shared" si="2"/>
        <v>9</v>
      </c>
      <c r="L51" s="6">
        <f t="shared" si="0"/>
        <v>73.2</v>
      </c>
      <c r="M51" s="36">
        <f t="shared" si="3"/>
        <v>0.09</v>
      </c>
      <c r="N51" s="82">
        <f t="shared" si="4"/>
        <v>0</v>
      </c>
      <c r="O51" s="82">
        <f t="shared" si="5"/>
        <v>0</v>
      </c>
    </row>
    <row r="52" spans="3:15" hidden="1" x14ac:dyDescent="0.35">
      <c r="C52" s="82">
        <v>1</v>
      </c>
      <c r="D52" s="36">
        <v>0.25</v>
      </c>
      <c r="E52" s="6">
        <v>100</v>
      </c>
      <c r="F52" s="6">
        <v>102</v>
      </c>
      <c r="G52" s="6">
        <v>110</v>
      </c>
      <c r="H52" s="6">
        <v>84</v>
      </c>
      <c r="J52" s="36">
        <f t="shared" si="1"/>
        <v>0.02</v>
      </c>
      <c r="K52" s="6">
        <f t="shared" si="2"/>
        <v>10</v>
      </c>
      <c r="L52" s="6">
        <f t="shared" si="0"/>
        <v>83</v>
      </c>
      <c r="M52" s="36">
        <f t="shared" si="3"/>
        <v>0.1</v>
      </c>
      <c r="N52" s="82">
        <f t="shared" si="4"/>
        <v>0</v>
      </c>
      <c r="O52" s="82">
        <f t="shared" si="5"/>
        <v>0</v>
      </c>
    </row>
    <row r="53" spans="3:15" hidden="1" x14ac:dyDescent="0.35">
      <c r="C53" s="82">
        <v>1</v>
      </c>
      <c r="D53" s="36">
        <v>0.25</v>
      </c>
      <c r="E53" s="6">
        <v>100</v>
      </c>
      <c r="F53" s="6">
        <v>102</v>
      </c>
      <c r="G53" s="6">
        <v>115</v>
      </c>
      <c r="H53" s="6">
        <v>136.30000000000001</v>
      </c>
      <c r="J53" s="36">
        <f t="shared" si="1"/>
        <v>0.02</v>
      </c>
      <c r="K53" s="6">
        <f t="shared" si="2"/>
        <v>15</v>
      </c>
      <c r="L53" s="6">
        <f t="shared" si="0"/>
        <v>135.30000000000001</v>
      </c>
      <c r="M53" s="36">
        <f t="shared" si="3"/>
        <v>0.15</v>
      </c>
      <c r="N53" s="82">
        <f t="shared" si="4"/>
        <v>0</v>
      </c>
      <c r="O53" s="82">
        <f t="shared" si="5"/>
        <v>0</v>
      </c>
    </row>
    <row r="54" spans="3:15" hidden="1" x14ac:dyDescent="0.35">
      <c r="C54" s="82">
        <v>1</v>
      </c>
      <c r="D54" s="36">
        <v>0.25</v>
      </c>
      <c r="E54" s="6">
        <v>100</v>
      </c>
      <c r="F54" s="6">
        <v>102</v>
      </c>
      <c r="G54" s="6">
        <v>120</v>
      </c>
      <c r="H54" s="6">
        <v>193.1</v>
      </c>
      <c r="J54" s="36">
        <f t="shared" si="1"/>
        <v>0.02</v>
      </c>
      <c r="K54" s="6">
        <f t="shared" si="2"/>
        <v>20</v>
      </c>
      <c r="L54" s="6">
        <f t="shared" si="0"/>
        <v>192.1</v>
      </c>
      <c r="M54" s="36">
        <f t="shared" si="3"/>
        <v>0.2</v>
      </c>
      <c r="N54" s="82">
        <f t="shared" si="4"/>
        <v>0</v>
      </c>
      <c r="O54" s="82">
        <f t="shared" si="5"/>
        <v>0</v>
      </c>
    </row>
    <row r="55" spans="3:15" hidden="1" x14ac:dyDescent="0.35">
      <c r="C55" s="82">
        <v>1</v>
      </c>
      <c r="D55" s="36">
        <v>0.25</v>
      </c>
      <c r="E55" s="6">
        <v>100</v>
      </c>
      <c r="F55" s="6">
        <v>102</v>
      </c>
      <c r="G55" s="6">
        <v>125</v>
      </c>
      <c r="H55" s="6">
        <v>253</v>
      </c>
      <c r="J55" s="36">
        <f t="shared" si="1"/>
        <v>0.02</v>
      </c>
      <c r="K55" s="6">
        <f t="shared" si="2"/>
        <v>25</v>
      </c>
      <c r="L55" s="6">
        <f t="shared" si="0"/>
        <v>252</v>
      </c>
      <c r="M55" s="36">
        <f t="shared" si="3"/>
        <v>0.25</v>
      </c>
      <c r="N55" s="82">
        <f t="shared" si="4"/>
        <v>0</v>
      </c>
      <c r="O55" s="82">
        <f t="shared" si="5"/>
        <v>0</v>
      </c>
    </row>
    <row r="56" spans="3:15" hidden="1" x14ac:dyDescent="0.35">
      <c r="C56" s="82">
        <v>1</v>
      </c>
      <c r="D56" s="36">
        <v>0.25</v>
      </c>
      <c r="E56" s="6">
        <v>100</v>
      </c>
      <c r="F56" s="6">
        <v>103</v>
      </c>
      <c r="G56" s="6">
        <v>101</v>
      </c>
      <c r="H56" s="6">
        <v>11.9</v>
      </c>
      <c r="J56" s="36">
        <f t="shared" si="1"/>
        <v>0.03</v>
      </c>
      <c r="K56" s="6">
        <f t="shared" ref="K56:K68" si="6">G56-E56</f>
        <v>1</v>
      </c>
      <c r="L56" s="6">
        <f t="shared" ref="L56:L68" si="7">H56-C56</f>
        <v>10.9</v>
      </c>
      <c r="M56" s="36">
        <f t="shared" si="3"/>
        <v>0.01</v>
      </c>
      <c r="N56" s="82">
        <f t="shared" si="4"/>
        <v>0</v>
      </c>
      <c r="O56" s="82">
        <f t="shared" si="5"/>
        <v>0</v>
      </c>
    </row>
    <row r="57" spans="3:15" hidden="1" x14ac:dyDescent="0.35">
      <c r="C57" s="82">
        <v>1</v>
      </c>
      <c r="D57" s="36">
        <v>0.25</v>
      </c>
      <c r="E57" s="6">
        <v>100</v>
      </c>
      <c r="F57" s="6">
        <v>103</v>
      </c>
      <c r="G57" s="6">
        <v>102</v>
      </c>
      <c r="H57" s="6">
        <v>21.4</v>
      </c>
      <c r="J57" s="36">
        <f t="shared" si="1"/>
        <v>0.03</v>
      </c>
      <c r="K57" s="6">
        <f t="shared" si="6"/>
        <v>2</v>
      </c>
      <c r="L57" s="6">
        <f t="shared" si="7"/>
        <v>20.399999999999999</v>
      </c>
      <c r="M57" s="36">
        <f t="shared" si="3"/>
        <v>0.02</v>
      </c>
      <c r="N57" s="82">
        <f t="shared" si="4"/>
        <v>0</v>
      </c>
      <c r="O57" s="82">
        <f t="shared" si="5"/>
        <v>0</v>
      </c>
    </row>
    <row r="58" spans="3:15" hidden="1" x14ac:dyDescent="0.35">
      <c r="C58" s="82">
        <v>1</v>
      </c>
      <c r="D58" s="36">
        <v>0.25</v>
      </c>
      <c r="E58" s="6">
        <v>100</v>
      </c>
      <c r="F58" s="6">
        <v>103</v>
      </c>
      <c r="G58" s="6">
        <v>103</v>
      </c>
      <c r="H58" s="6">
        <v>31.3</v>
      </c>
      <c r="J58" s="36">
        <f t="shared" si="1"/>
        <v>0.03</v>
      </c>
      <c r="K58" s="6">
        <f t="shared" si="6"/>
        <v>3</v>
      </c>
      <c r="L58" s="6">
        <f t="shared" si="7"/>
        <v>30.3</v>
      </c>
      <c r="M58" s="36">
        <f t="shared" si="3"/>
        <v>0.03</v>
      </c>
      <c r="N58" s="82">
        <f t="shared" si="4"/>
        <v>1</v>
      </c>
      <c r="O58" s="82">
        <f t="shared" si="5"/>
        <v>0</v>
      </c>
    </row>
    <row r="59" spans="3:15" hidden="1" x14ac:dyDescent="0.35">
      <c r="C59" s="82">
        <v>1</v>
      </c>
      <c r="D59" s="36">
        <v>0.25</v>
      </c>
      <c r="E59" s="6">
        <v>100</v>
      </c>
      <c r="F59" s="6">
        <v>103</v>
      </c>
      <c r="G59" s="6">
        <v>104</v>
      </c>
      <c r="H59" s="6">
        <v>41.6</v>
      </c>
      <c r="J59" s="36">
        <f t="shared" si="1"/>
        <v>0.03</v>
      </c>
      <c r="K59" s="6">
        <f t="shared" si="6"/>
        <v>4</v>
      </c>
      <c r="L59" s="6">
        <f t="shared" si="7"/>
        <v>40.6</v>
      </c>
      <c r="M59" s="36">
        <f t="shared" si="3"/>
        <v>0.04</v>
      </c>
      <c r="N59" s="82">
        <f t="shared" si="4"/>
        <v>0</v>
      </c>
      <c r="O59" s="82">
        <f t="shared" si="5"/>
        <v>0</v>
      </c>
    </row>
    <row r="60" spans="3:15" hidden="1" x14ac:dyDescent="0.35">
      <c r="C60" s="82">
        <v>1</v>
      </c>
      <c r="D60" s="36">
        <v>0.25</v>
      </c>
      <c r="E60" s="6">
        <v>100</v>
      </c>
      <c r="F60" s="6">
        <v>103</v>
      </c>
      <c r="G60" s="6">
        <v>105</v>
      </c>
      <c r="H60" s="6">
        <v>52.3</v>
      </c>
      <c r="J60" s="36">
        <f t="shared" si="1"/>
        <v>0.03</v>
      </c>
      <c r="K60" s="6">
        <f t="shared" si="6"/>
        <v>5</v>
      </c>
      <c r="L60" s="6">
        <f t="shared" si="7"/>
        <v>51.3</v>
      </c>
      <c r="M60" s="36">
        <f t="shared" si="3"/>
        <v>0.05</v>
      </c>
      <c r="N60" s="82">
        <f t="shared" si="4"/>
        <v>0</v>
      </c>
      <c r="O60" s="82">
        <f t="shared" si="5"/>
        <v>0</v>
      </c>
    </row>
    <row r="61" spans="3:15" hidden="1" x14ac:dyDescent="0.35">
      <c r="C61" s="82">
        <v>1</v>
      </c>
      <c r="D61" s="36">
        <v>0.25</v>
      </c>
      <c r="E61" s="6">
        <v>100</v>
      </c>
      <c r="F61" s="6">
        <v>103</v>
      </c>
      <c r="G61" s="6">
        <v>106</v>
      </c>
      <c r="H61" s="6">
        <v>63.5</v>
      </c>
      <c r="J61" s="36">
        <f t="shared" si="1"/>
        <v>0.03</v>
      </c>
      <c r="K61" s="6">
        <f t="shared" si="6"/>
        <v>6</v>
      </c>
      <c r="L61" s="6">
        <f t="shared" si="7"/>
        <v>62.5</v>
      </c>
      <c r="M61" s="36">
        <f t="shared" si="3"/>
        <v>0.06</v>
      </c>
      <c r="N61" s="82">
        <f t="shared" si="4"/>
        <v>0</v>
      </c>
      <c r="O61" s="82">
        <f t="shared" si="5"/>
        <v>1</v>
      </c>
    </row>
    <row r="62" spans="3:15" hidden="1" x14ac:dyDescent="0.35">
      <c r="C62" s="82">
        <v>1</v>
      </c>
      <c r="D62" s="36">
        <v>0.25</v>
      </c>
      <c r="E62" s="6">
        <v>100</v>
      </c>
      <c r="F62" s="6">
        <v>103</v>
      </c>
      <c r="G62" s="6">
        <v>107</v>
      </c>
      <c r="H62" s="6">
        <v>74.900000000000006</v>
      </c>
      <c r="J62" s="36">
        <f t="shared" si="1"/>
        <v>0.03</v>
      </c>
      <c r="K62" s="6">
        <f t="shared" si="6"/>
        <v>7</v>
      </c>
      <c r="L62" s="6">
        <f t="shared" si="7"/>
        <v>73.900000000000006</v>
      </c>
      <c r="M62" s="36">
        <f t="shared" si="3"/>
        <v>7.0000000000000007E-2</v>
      </c>
      <c r="N62" s="82">
        <f t="shared" si="4"/>
        <v>0</v>
      </c>
      <c r="O62" s="82">
        <f t="shared" si="5"/>
        <v>0</v>
      </c>
    </row>
    <row r="63" spans="3:15" hidden="1" x14ac:dyDescent="0.35">
      <c r="C63" s="82">
        <v>1</v>
      </c>
      <c r="D63" s="36">
        <v>0.25</v>
      </c>
      <c r="E63" s="6">
        <v>100</v>
      </c>
      <c r="F63" s="6">
        <v>103</v>
      </c>
      <c r="G63" s="6">
        <v>108</v>
      </c>
      <c r="H63" s="6">
        <v>86.7</v>
      </c>
      <c r="J63" s="36">
        <f t="shared" si="1"/>
        <v>0.03</v>
      </c>
      <c r="K63" s="6">
        <f t="shared" si="6"/>
        <v>8</v>
      </c>
      <c r="L63" s="6">
        <f t="shared" si="7"/>
        <v>85.7</v>
      </c>
      <c r="M63" s="36">
        <f t="shared" si="3"/>
        <v>0.08</v>
      </c>
      <c r="N63" s="82">
        <f t="shared" si="4"/>
        <v>0</v>
      </c>
      <c r="O63" s="82">
        <f t="shared" si="5"/>
        <v>0</v>
      </c>
    </row>
    <row r="64" spans="3:15" hidden="1" x14ac:dyDescent="0.35">
      <c r="C64" s="82">
        <v>1</v>
      </c>
      <c r="D64" s="36">
        <v>0.25</v>
      </c>
      <c r="E64" s="6">
        <v>100</v>
      </c>
      <c r="F64" s="6">
        <v>103</v>
      </c>
      <c r="G64" s="6">
        <v>109</v>
      </c>
      <c r="H64" s="6">
        <v>98.7</v>
      </c>
      <c r="J64" s="36">
        <f t="shared" si="1"/>
        <v>0.03</v>
      </c>
      <c r="K64" s="6">
        <f t="shared" si="6"/>
        <v>9</v>
      </c>
      <c r="L64" s="6">
        <f t="shared" si="7"/>
        <v>97.7</v>
      </c>
      <c r="M64" s="36">
        <f t="shared" si="3"/>
        <v>0.09</v>
      </c>
      <c r="N64" s="82">
        <f t="shared" si="4"/>
        <v>0</v>
      </c>
      <c r="O64" s="82">
        <f t="shared" si="5"/>
        <v>0</v>
      </c>
    </row>
    <row r="65" spans="3:15" hidden="1" x14ac:dyDescent="0.35">
      <c r="C65" s="82">
        <v>1</v>
      </c>
      <c r="D65" s="36">
        <v>0.25</v>
      </c>
      <c r="E65" s="6">
        <v>100</v>
      </c>
      <c r="F65" s="6">
        <v>103</v>
      </c>
      <c r="G65" s="6">
        <v>110</v>
      </c>
      <c r="H65" s="6">
        <v>111.1</v>
      </c>
      <c r="J65" s="36">
        <f t="shared" si="1"/>
        <v>0.03</v>
      </c>
      <c r="K65" s="6">
        <f t="shared" si="6"/>
        <v>10</v>
      </c>
      <c r="L65" s="6">
        <f t="shared" si="7"/>
        <v>110.1</v>
      </c>
      <c r="M65" s="36">
        <f t="shared" si="3"/>
        <v>0.1</v>
      </c>
      <c r="N65" s="82">
        <f t="shared" si="4"/>
        <v>0</v>
      </c>
      <c r="O65" s="82">
        <f t="shared" si="5"/>
        <v>0</v>
      </c>
    </row>
    <row r="66" spans="3:15" hidden="1" x14ac:dyDescent="0.35">
      <c r="C66" s="82">
        <v>1</v>
      </c>
      <c r="D66" s="36">
        <v>0.25</v>
      </c>
      <c r="E66" s="6">
        <v>100</v>
      </c>
      <c r="F66" s="6">
        <v>103</v>
      </c>
      <c r="G66" s="6">
        <v>115</v>
      </c>
      <c r="H66" s="6">
        <v>176.1</v>
      </c>
      <c r="J66" s="36">
        <f t="shared" si="1"/>
        <v>0.03</v>
      </c>
      <c r="K66" s="6">
        <f t="shared" si="6"/>
        <v>15</v>
      </c>
      <c r="L66" s="6">
        <f t="shared" si="7"/>
        <v>175.1</v>
      </c>
      <c r="M66" s="36">
        <f t="shared" si="3"/>
        <v>0.15</v>
      </c>
      <c r="N66" s="82">
        <f t="shared" si="4"/>
        <v>0</v>
      </c>
      <c r="O66" s="82">
        <f t="shared" si="5"/>
        <v>0</v>
      </c>
    </row>
    <row r="67" spans="3:15" hidden="1" x14ac:dyDescent="0.35">
      <c r="C67" s="82">
        <v>1</v>
      </c>
      <c r="D67" s="36">
        <v>0.25</v>
      </c>
      <c r="E67" s="6">
        <v>100</v>
      </c>
      <c r="F67" s="6">
        <v>103</v>
      </c>
      <c r="G67" s="6">
        <v>120</v>
      </c>
      <c r="H67" s="6">
        <v>245.5</v>
      </c>
      <c r="J67" s="36">
        <f t="shared" si="1"/>
        <v>0.03</v>
      </c>
      <c r="K67" s="6">
        <f t="shared" si="6"/>
        <v>20</v>
      </c>
      <c r="L67" s="6">
        <f t="shared" si="7"/>
        <v>244.5</v>
      </c>
      <c r="M67" s="36">
        <f t="shared" si="3"/>
        <v>0.2</v>
      </c>
      <c r="N67" s="82">
        <f t="shared" si="4"/>
        <v>0</v>
      </c>
      <c r="O67" s="82">
        <f t="shared" si="5"/>
        <v>0</v>
      </c>
    </row>
    <row r="68" spans="3:15" hidden="1" x14ac:dyDescent="0.35">
      <c r="C68" s="82">
        <v>1</v>
      </c>
      <c r="D68" s="36">
        <v>0.25</v>
      </c>
      <c r="E68" s="6">
        <v>100</v>
      </c>
      <c r="F68" s="6">
        <v>103</v>
      </c>
      <c r="G68" s="6">
        <v>125</v>
      </c>
      <c r="H68" s="6">
        <v>317.8</v>
      </c>
      <c r="J68" s="36">
        <f t="shared" si="1"/>
        <v>0.03</v>
      </c>
      <c r="K68" s="6">
        <f t="shared" si="6"/>
        <v>25</v>
      </c>
      <c r="L68" s="6">
        <f t="shared" si="7"/>
        <v>316.8</v>
      </c>
      <c r="M68" s="36">
        <f t="shared" si="3"/>
        <v>0.25</v>
      </c>
      <c r="N68" s="82">
        <f t="shared" si="4"/>
        <v>0</v>
      </c>
      <c r="O68" s="82">
        <f t="shared" si="5"/>
        <v>0</v>
      </c>
    </row>
    <row r="69" spans="3:15" hidden="1" x14ac:dyDescent="0.35">
      <c r="C69" s="82">
        <v>1</v>
      </c>
      <c r="D69" s="36">
        <v>0.25</v>
      </c>
      <c r="E69" s="6">
        <v>100</v>
      </c>
      <c r="F69" s="6">
        <v>104</v>
      </c>
      <c r="G69" s="6">
        <v>101</v>
      </c>
      <c r="H69" s="6">
        <v>16.7</v>
      </c>
      <c r="J69" s="36">
        <f t="shared" si="1"/>
        <v>0.04</v>
      </c>
      <c r="K69" s="6">
        <f t="shared" ref="K69:K94" si="8">G69-E69</f>
        <v>1</v>
      </c>
      <c r="L69" s="6">
        <f t="shared" ref="L69:L94" si="9">H69-C69</f>
        <v>15.7</v>
      </c>
      <c r="M69" s="36">
        <f t="shared" si="3"/>
        <v>0.01</v>
      </c>
      <c r="N69" s="82">
        <f t="shared" si="4"/>
        <v>0</v>
      </c>
      <c r="O69" s="82">
        <f t="shared" si="5"/>
        <v>0</v>
      </c>
    </row>
    <row r="70" spans="3:15" hidden="1" x14ac:dyDescent="0.35">
      <c r="C70" s="82">
        <v>1</v>
      </c>
      <c r="D70" s="36">
        <v>0.25</v>
      </c>
      <c r="E70" s="6">
        <v>100</v>
      </c>
      <c r="F70" s="6">
        <v>104</v>
      </c>
      <c r="G70" s="6">
        <v>102</v>
      </c>
      <c r="H70" s="6">
        <v>29</v>
      </c>
      <c r="J70" s="36">
        <f t="shared" si="1"/>
        <v>0.04</v>
      </c>
      <c r="K70" s="6">
        <f t="shared" si="8"/>
        <v>2</v>
      </c>
      <c r="L70" s="6">
        <f t="shared" si="9"/>
        <v>28</v>
      </c>
      <c r="M70" s="36">
        <f t="shared" si="3"/>
        <v>0.02</v>
      </c>
      <c r="N70" s="82">
        <f t="shared" si="4"/>
        <v>0</v>
      </c>
      <c r="O70" s="82">
        <f t="shared" si="5"/>
        <v>0</v>
      </c>
    </row>
    <row r="71" spans="3:15" hidden="1" x14ac:dyDescent="0.35">
      <c r="C71" s="82">
        <v>1</v>
      </c>
      <c r="D71" s="36">
        <v>0.25</v>
      </c>
      <c r="E71" s="6">
        <v>100</v>
      </c>
      <c r="F71" s="6">
        <v>104</v>
      </c>
      <c r="G71" s="6">
        <v>103</v>
      </c>
      <c r="H71" s="6">
        <v>41.5</v>
      </c>
      <c r="J71" s="36">
        <f t="shared" si="1"/>
        <v>0.04</v>
      </c>
      <c r="K71" s="6">
        <f t="shared" si="8"/>
        <v>3</v>
      </c>
      <c r="L71" s="6">
        <f t="shared" si="9"/>
        <v>40.5</v>
      </c>
      <c r="M71" s="36">
        <f t="shared" si="3"/>
        <v>0.03</v>
      </c>
      <c r="N71" s="82">
        <f t="shared" si="4"/>
        <v>0</v>
      </c>
      <c r="O71" s="82">
        <f t="shared" si="5"/>
        <v>0</v>
      </c>
    </row>
    <row r="72" spans="3:15" hidden="1" x14ac:dyDescent="0.35">
      <c r="C72" s="82">
        <v>1</v>
      </c>
      <c r="D72" s="36">
        <v>0.25</v>
      </c>
      <c r="E72" s="6">
        <v>100</v>
      </c>
      <c r="F72" s="6">
        <v>104</v>
      </c>
      <c r="G72" s="6">
        <v>104</v>
      </c>
      <c r="H72" s="6">
        <v>54.4</v>
      </c>
      <c r="J72" s="36">
        <f t="shared" si="1"/>
        <v>0.04</v>
      </c>
      <c r="K72" s="6">
        <f t="shared" si="8"/>
        <v>4</v>
      </c>
      <c r="L72" s="6">
        <f t="shared" si="9"/>
        <v>53.4</v>
      </c>
      <c r="M72" s="36">
        <f t="shared" si="3"/>
        <v>0.04</v>
      </c>
      <c r="N72" s="82">
        <f t="shared" si="4"/>
        <v>1</v>
      </c>
      <c r="O72" s="82">
        <f t="shared" si="5"/>
        <v>0</v>
      </c>
    </row>
    <row r="73" spans="3:15" hidden="1" x14ac:dyDescent="0.35">
      <c r="C73" s="82">
        <v>1</v>
      </c>
      <c r="D73" s="36">
        <v>0.25</v>
      </c>
      <c r="E73" s="6">
        <v>100</v>
      </c>
      <c r="F73" s="6">
        <v>104</v>
      </c>
      <c r="G73" s="6">
        <v>105</v>
      </c>
      <c r="H73" s="6">
        <v>67.599999999999994</v>
      </c>
      <c r="J73" s="36">
        <f t="shared" si="1"/>
        <v>0.04</v>
      </c>
      <c r="K73" s="6">
        <f t="shared" si="8"/>
        <v>5</v>
      </c>
      <c r="L73" s="6">
        <f t="shared" si="9"/>
        <v>66.599999999999994</v>
      </c>
      <c r="M73" s="36">
        <f t="shared" si="3"/>
        <v>0.05</v>
      </c>
      <c r="N73" s="82">
        <f t="shared" si="4"/>
        <v>0</v>
      </c>
      <c r="O73" s="82">
        <f t="shared" si="5"/>
        <v>0</v>
      </c>
    </row>
    <row r="74" spans="3:15" hidden="1" x14ac:dyDescent="0.35">
      <c r="C74" s="82">
        <v>1</v>
      </c>
      <c r="D74" s="36">
        <v>0.25</v>
      </c>
      <c r="E74" s="6">
        <v>100</v>
      </c>
      <c r="F74" s="6">
        <v>104</v>
      </c>
      <c r="G74" s="6">
        <v>106</v>
      </c>
      <c r="H74" s="6">
        <v>81.2</v>
      </c>
      <c r="J74" s="36">
        <f t="shared" si="1"/>
        <v>0.04</v>
      </c>
      <c r="K74" s="6">
        <f t="shared" si="8"/>
        <v>6</v>
      </c>
      <c r="L74" s="6">
        <f t="shared" si="9"/>
        <v>80.2</v>
      </c>
      <c r="M74" s="36">
        <f t="shared" si="3"/>
        <v>0.06</v>
      </c>
      <c r="N74" s="82">
        <f t="shared" si="4"/>
        <v>0</v>
      </c>
      <c r="O74" s="82">
        <f t="shared" si="5"/>
        <v>0</v>
      </c>
    </row>
    <row r="75" spans="3:15" hidden="1" x14ac:dyDescent="0.35">
      <c r="C75" s="82">
        <v>1</v>
      </c>
      <c r="D75" s="36">
        <v>0.25</v>
      </c>
      <c r="E75" s="6">
        <v>100</v>
      </c>
      <c r="F75" s="6">
        <v>104</v>
      </c>
      <c r="G75" s="6">
        <v>107</v>
      </c>
      <c r="H75" s="6">
        <v>95.2</v>
      </c>
      <c r="J75" s="36">
        <f t="shared" si="1"/>
        <v>0.04</v>
      </c>
      <c r="K75" s="6">
        <f t="shared" si="8"/>
        <v>7</v>
      </c>
      <c r="L75" s="6">
        <f t="shared" si="9"/>
        <v>94.2</v>
      </c>
      <c r="M75" s="36">
        <f t="shared" si="3"/>
        <v>7.0000000000000007E-2</v>
      </c>
      <c r="N75" s="82">
        <f t="shared" si="4"/>
        <v>0</v>
      </c>
      <c r="O75" s="82">
        <f t="shared" si="5"/>
        <v>0</v>
      </c>
    </row>
    <row r="76" spans="3:15" hidden="1" x14ac:dyDescent="0.35">
      <c r="C76" s="82">
        <v>1</v>
      </c>
      <c r="D76" s="36">
        <v>0.25</v>
      </c>
      <c r="E76" s="6">
        <v>100</v>
      </c>
      <c r="F76" s="6">
        <v>104</v>
      </c>
      <c r="G76" s="6">
        <v>108</v>
      </c>
      <c r="H76" s="6">
        <v>109.4</v>
      </c>
      <c r="J76" s="36">
        <f t="shared" si="1"/>
        <v>0.04</v>
      </c>
      <c r="K76" s="6">
        <f t="shared" si="8"/>
        <v>8</v>
      </c>
      <c r="L76" s="6">
        <f t="shared" si="9"/>
        <v>108.4</v>
      </c>
      <c r="M76" s="36">
        <f t="shared" si="3"/>
        <v>0.08</v>
      </c>
      <c r="N76" s="82">
        <f t="shared" si="4"/>
        <v>0</v>
      </c>
      <c r="O76" s="82">
        <f t="shared" si="5"/>
        <v>1</v>
      </c>
    </row>
    <row r="77" spans="3:15" hidden="1" x14ac:dyDescent="0.35">
      <c r="C77" s="82">
        <v>1</v>
      </c>
      <c r="D77" s="36">
        <v>0.25</v>
      </c>
      <c r="E77" s="6">
        <v>100</v>
      </c>
      <c r="F77" s="6">
        <v>104</v>
      </c>
      <c r="G77" s="6">
        <v>109</v>
      </c>
      <c r="H77" s="6">
        <v>123.9</v>
      </c>
      <c r="J77" s="36">
        <f t="shared" si="1"/>
        <v>0.04</v>
      </c>
      <c r="K77" s="6">
        <f t="shared" si="8"/>
        <v>9</v>
      </c>
      <c r="L77" s="6">
        <f t="shared" si="9"/>
        <v>122.9</v>
      </c>
      <c r="M77" s="36">
        <f t="shared" si="3"/>
        <v>0.09</v>
      </c>
      <c r="N77" s="82">
        <f t="shared" si="4"/>
        <v>0</v>
      </c>
      <c r="O77" s="82">
        <f t="shared" si="5"/>
        <v>0</v>
      </c>
    </row>
    <row r="78" spans="3:15" hidden="1" x14ac:dyDescent="0.35">
      <c r="C78" s="82">
        <v>1</v>
      </c>
      <c r="D78" s="36">
        <v>0.25</v>
      </c>
      <c r="E78" s="6">
        <v>100</v>
      </c>
      <c r="F78" s="6">
        <v>104</v>
      </c>
      <c r="G78" s="6">
        <v>110</v>
      </c>
      <c r="H78" s="6">
        <v>138.69999999999999</v>
      </c>
      <c r="J78" s="36">
        <f t="shared" si="1"/>
        <v>0.04</v>
      </c>
      <c r="K78" s="6">
        <f t="shared" si="8"/>
        <v>10</v>
      </c>
      <c r="L78" s="6">
        <f t="shared" si="9"/>
        <v>137.69999999999999</v>
      </c>
      <c r="M78" s="36">
        <f t="shared" si="3"/>
        <v>0.1</v>
      </c>
      <c r="N78" s="82">
        <f t="shared" si="4"/>
        <v>0</v>
      </c>
      <c r="O78" s="82">
        <f t="shared" si="5"/>
        <v>0</v>
      </c>
    </row>
    <row r="79" spans="3:15" hidden="1" x14ac:dyDescent="0.35">
      <c r="C79" s="82">
        <v>1</v>
      </c>
      <c r="D79" s="36">
        <v>0.25</v>
      </c>
      <c r="E79" s="6">
        <v>100</v>
      </c>
      <c r="F79" s="6">
        <v>104</v>
      </c>
      <c r="G79" s="6">
        <v>115</v>
      </c>
      <c r="H79" s="6">
        <v>215.8</v>
      </c>
      <c r="J79" s="36">
        <f t="shared" si="1"/>
        <v>0.04</v>
      </c>
      <c r="K79" s="6">
        <f t="shared" si="8"/>
        <v>15</v>
      </c>
      <c r="L79" s="6">
        <f t="shared" si="9"/>
        <v>214.8</v>
      </c>
      <c r="M79" s="36">
        <f t="shared" si="3"/>
        <v>0.15</v>
      </c>
      <c r="N79" s="82">
        <f t="shared" si="4"/>
        <v>0</v>
      </c>
      <c r="O79" s="82">
        <f t="shared" si="5"/>
        <v>0</v>
      </c>
    </row>
    <row r="80" spans="3:15" hidden="1" x14ac:dyDescent="0.35">
      <c r="C80" s="82">
        <v>1</v>
      </c>
      <c r="D80" s="36">
        <v>0.25</v>
      </c>
      <c r="E80" s="6">
        <v>100</v>
      </c>
      <c r="F80" s="6">
        <v>104</v>
      </c>
      <c r="G80" s="6">
        <v>120</v>
      </c>
      <c r="H80" s="6">
        <v>297</v>
      </c>
      <c r="J80" s="36">
        <f t="shared" si="1"/>
        <v>0.04</v>
      </c>
      <c r="K80" s="6">
        <f t="shared" si="8"/>
        <v>20</v>
      </c>
      <c r="L80" s="6">
        <f t="shared" si="9"/>
        <v>296</v>
      </c>
      <c r="M80" s="36">
        <f t="shared" si="3"/>
        <v>0.2</v>
      </c>
      <c r="N80" s="82">
        <f t="shared" si="4"/>
        <v>0</v>
      </c>
      <c r="O80" s="82">
        <f t="shared" si="5"/>
        <v>0</v>
      </c>
    </row>
    <row r="81" spans="3:15" hidden="1" x14ac:dyDescent="0.35">
      <c r="C81" s="82">
        <v>1</v>
      </c>
      <c r="D81" s="36">
        <v>0.25</v>
      </c>
      <c r="E81" s="6">
        <v>100</v>
      </c>
      <c r="F81" s="6">
        <v>104</v>
      </c>
      <c r="G81" s="6">
        <v>125</v>
      </c>
      <c r="H81" s="6">
        <v>380.9</v>
      </c>
      <c r="J81" s="36">
        <f t="shared" si="1"/>
        <v>0.04</v>
      </c>
      <c r="K81" s="6">
        <f t="shared" si="8"/>
        <v>25</v>
      </c>
      <c r="L81" s="6">
        <f t="shared" si="9"/>
        <v>379.9</v>
      </c>
      <c r="M81" s="36">
        <f t="shared" si="3"/>
        <v>0.25</v>
      </c>
      <c r="N81" s="82">
        <f t="shared" si="4"/>
        <v>0</v>
      </c>
      <c r="O81" s="82">
        <f t="shared" si="5"/>
        <v>0</v>
      </c>
    </row>
    <row r="82" spans="3:15" hidden="1" x14ac:dyDescent="0.35">
      <c r="C82" s="82">
        <v>1</v>
      </c>
      <c r="D82" s="36">
        <v>0.25</v>
      </c>
      <c r="E82" s="6">
        <v>100</v>
      </c>
      <c r="F82" s="6">
        <v>105</v>
      </c>
      <c r="G82" s="6">
        <v>101</v>
      </c>
      <c r="H82" s="6">
        <v>21.8</v>
      </c>
      <c r="J82" s="36">
        <f t="shared" ref="J82:J145" si="10">(F82-E82)/E82</f>
        <v>0.05</v>
      </c>
      <c r="K82" s="6">
        <f t="shared" si="8"/>
        <v>1</v>
      </c>
      <c r="L82" s="6">
        <f t="shared" si="9"/>
        <v>20.8</v>
      </c>
      <c r="M82" s="36">
        <f t="shared" ref="M82:M145" si="11">K82/E82</f>
        <v>0.01</v>
      </c>
      <c r="N82" s="82">
        <f t="shared" ref="N82:N145" si="12">IF(M82=J82,1,0)</f>
        <v>0</v>
      </c>
      <c r="O82" s="82">
        <f t="shared" ref="O82:O145" si="13">IF(J82=0,0,IF(M82/J82=2,1,0))</f>
        <v>0</v>
      </c>
    </row>
    <row r="83" spans="3:15" hidden="1" x14ac:dyDescent="0.35">
      <c r="C83" s="82">
        <v>1</v>
      </c>
      <c r="D83" s="36">
        <v>0.25</v>
      </c>
      <c r="E83" s="6">
        <v>100</v>
      </c>
      <c r="F83" s="6">
        <v>105</v>
      </c>
      <c r="G83" s="6">
        <v>102</v>
      </c>
      <c r="H83" s="6">
        <v>37</v>
      </c>
      <c r="J83" s="36">
        <f t="shared" si="10"/>
        <v>0.05</v>
      </c>
      <c r="K83" s="6">
        <f t="shared" si="8"/>
        <v>2</v>
      </c>
      <c r="L83" s="6">
        <f t="shared" si="9"/>
        <v>36</v>
      </c>
      <c r="M83" s="36">
        <f t="shared" si="11"/>
        <v>0.02</v>
      </c>
      <c r="N83" s="82">
        <f t="shared" si="12"/>
        <v>0</v>
      </c>
      <c r="O83" s="82">
        <f t="shared" si="13"/>
        <v>0</v>
      </c>
    </row>
    <row r="84" spans="3:15" hidden="1" x14ac:dyDescent="0.35">
      <c r="C84" s="82">
        <v>1</v>
      </c>
      <c r="D84" s="36">
        <v>0.25</v>
      </c>
      <c r="E84" s="6">
        <v>100</v>
      </c>
      <c r="F84" s="6">
        <v>105</v>
      </c>
      <c r="G84" s="6">
        <v>103</v>
      </c>
      <c r="H84" s="6">
        <v>52.2</v>
      </c>
      <c r="J84" s="36">
        <f t="shared" si="10"/>
        <v>0.05</v>
      </c>
      <c r="K84" s="6">
        <f t="shared" si="8"/>
        <v>3</v>
      </c>
      <c r="L84" s="6">
        <f t="shared" si="9"/>
        <v>51.2</v>
      </c>
      <c r="M84" s="36">
        <f t="shared" si="11"/>
        <v>0.03</v>
      </c>
      <c r="N84" s="82">
        <f t="shared" si="12"/>
        <v>0</v>
      </c>
      <c r="O84" s="82">
        <f t="shared" si="13"/>
        <v>0</v>
      </c>
    </row>
    <row r="85" spans="3:15" hidden="1" x14ac:dyDescent="0.35">
      <c r="C85" s="82">
        <v>1</v>
      </c>
      <c r="D85" s="36">
        <v>0.25</v>
      </c>
      <c r="E85" s="6">
        <v>100</v>
      </c>
      <c r="F85" s="6">
        <v>105</v>
      </c>
      <c r="G85" s="6">
        <v>104</v>
      </c>
      <c r="H85" s="6">
        <v>67.599999999999994</v>
      </c>
      <c r="J85" s="36">
        <f t="shared" si="10"/>
        <v>0.05</v>
      </c>
      <c r="K85" s="6">
        <f t="shared" si="8"/>
        <v>4</v>
      </c>
      <c r="L85" s="6">
        <f t="shared" si="9"/>
        <v>66.599999999999994</v>
      </c>
      <c r="M85" s="36">
        <f t="shared" si="11"/>
        <v>0.04</v>
      </c>
      <c r="N85" s="82">
        <f t="shared" si="12"/>
        <v>0</v>
      </c>
      <c r="O85" s="82">
        <f t="shared" si="13"/>
        <v>0</v>
      </c>
    </row>
    <row r="86" spans="3:15" hidden="1" x14ac:dyDescent="0.35">
      <c r="C86" s="82">
        <v>1</v>
      </c>
      <c r="D86" s="36">
        <v>0.25</v>
      </c>
      <c r="E86" s="6">
        <v>100</v>
      </c>
      <c r="F86" s="6">
        <v>105</v>
      </c>
      <c r="G86" s="6">
        <v>105</v>
      </c>
      <c r="H86" s="6">
        <v>83.4</v>
      </c>
      <c r="J86" s="36">
        <f t="shared" si="10"/>
        <v>0.05</v>
      </c>
      <c r="K86" s="6">
        <f t="shared" si="8"/>
        <v>5</v>
      </c>
      <c r="L86" s="6">
        <f t="shared" si="9"/>
        <v>82.4</v>
      </c>
      <c r="M86" s="36">
        <f t="shared" si="11"/>
        <v>0.05</v>
      </c>
      <c r="N86" s="82">
        <f t="shared" si="12"/>
        <v>1</v>
      </c>
      <c r="O86" s="82">
        <f t="shared" si="13"/>
        <v>0</v>
      </c>
    </row>
    <row r="87" spans="3:15" hidden="1" x14ac:dyDescent="0.35">
      <c r="C87" s="82">
        <v>1</v>
      </c>
      <c r="D87" s="36">
        <v>0.25</v>
      </c>
      <c r="E87" s="6">
        <v>100</v>
      </c>
      <c r="F87" s="6">
        <v>105</v>
      </c>
      <c r="G87" s="6">
        <v>106</v>
      </c>
      <c r="H87" s="6">
        <v>99.4</v>
      </c>
      <c r="J87" s="36">
        <f t="shared" si="10"/>
        <v>0.05</v>
      </c>
      <c r="K87" s="6">
        <f t="shared" si="8"/>
        <v>6</v>
      </c>
      <c r="L87" s="6">
        <f t="shared" si="9"/>
        <v>98.4</v>
      </c>
      <c r="M87" s="36">
        <f t="shared" si="11"/>
        <v>0.06</v>
      </c>
      <c r="N87" s="82">
        <f t="shared" si="12"/>
        <v>0</v>
      </c>
      <c r="O87" s="82">
        <f t="shared" si="13"/>
        <v>0</v>
      </c>
    </row>
    <row r="88" spans="3:15" hidden="1" x14ac:dyDescent="0.35">
      <c r="C88" s="82">
        <v>1</v>
      </c>
      <c r="D88" s="36">
        <v>0.25</v>
      </c>
      <c r="E88" s="6">
        <v>100</v>
      </c>
      <c r="F88" s="6">
        <v>105</v>
      </c>
      <c r="G88" s="6">
        <v>107</v>
      </c>
      <c r="H88" s="6">
        <v>115.7</v>
      </c>
      <c r="J88" s="36">
        <f t="shared" si="10"/>
        <v>0.05</v>
      </c>
      <c r="K88" s="6">
        <f t="shared" si="8"/>
        <v>7</v>
      </c>
      <c r="L88" s="6">
        <f t="shared" si="9"/>
        <v>114.7</v>
      </c>
      <c r="M88" s="36">
        <f t="shared" si="11"/>
        <v>7.0000000000000007E-2</v>
      </c>
      <c r="N88" s="82">
        <f t="shared" si="12"/>
        <v>0</v>
      </c>
      <c r="O88" s="82">
        <f t="shared" si="13"/>
        <v>0</v>
      </c>
    </row>
    <row r="89" spans="3:15" hidden="1" x14ac:dyDescent="0.35">
      <c r="C89" s="82">
        <v>1</v>
      </c>
      <c r="D89" s="36">
        <v>0.25</v>
      </c>
      <c r="E89" s="6">
        <v>100</v>
      </c>
      <c r="F89" s="6">
        <v>105</v>
      </c>
      <c r="G89" s="6">
        <v>108</v>
      </c>
      <c r="H89" s="6">
        <v>132.30000000000001</v>
      </c>
      <c r="J89" s="36">
        <f t="shared" si="10"/>
        <v>0.05</v>
      </c>
      <c r="K89" s="6">
        <f t="shared" si="8"/>
        <v>8</v>
      </c>
      <c r="L89" s="6">
        <f t="shared" si="9"/>
        <v>131.30000000000001</v>
      </c>
      <c r="M89" s="36">
        <f t="shared" si="11"/>
        <v>0.08</v>
      </c>
      <c r="N89" s="82">
        <f t="shared" si="12"/>
        <v>0</v>
      </c>
      <c r="O89" s="82">
        <f t="shared" si="13"/>
        <v>0</v>
      </c>
    </row>
    <row r="90" spans="3:15" hidden="1" x14ac:dyDescent="0.35">
      <c r="C90" s="82">
        <v>1</v>
      </c>
      <c r="D90" s="36">
        <v>0.25</v>
      </c>
      <c r="E90" s="6">
        <v>100</v>
      </c>
      <c r="F90" s="6">
        <v>105</v>
      </c>
      <c r="G90" s="6">
        <v>109</v>
      </c>
      <c r="H90" s="6">
        <v>149.19999999999999</v>
      </c>
      <c r="J90" s="36">
        <f t="shared" si="10"/>
        <v>0.05</v>
      </c>
      <c r="K90" s="6">
        <f t="shared" si="8"/>
        <v>9</v>
      </c>
      <c r="L90" s="6">
        <f t="shared" si="9"/>
        <v>148.19999999999999</v>
      </c>
      <c r="M90" s="36">
        <f t="shared" si="11"/>
        <v>0.09</v>
      </c>
      <c r="N90" s="82">
        <f t="shared" si="12"/>
        <v>0</v>
      </c>
      <c r="O90" s="82">
        <f t="shared" si="13"/>
        <v>0</v>
      </c>
    </row>
    <row r="91" spans="3:15" hidden="1" x14ac:dyDescent="0.35">
      <c r="C91" s="82">
        <v>1</v>
      </c>
      <c r="D91" s="36">
        <v>0.25</v>
      </c>
      <c r="E91" s="6">
        <v>100</v>
      </c>
      <c r="F91" s="6">
        <v>105</v>
      </c>
      <c r="G91" s="6">
        <v>110</v>
      </c>
      <c r="H91" s="6">
        <v>166.3</v>
      </c>
      <c r="J91" s="36">
        <f t="shared" si="10"/>
        <v>0.05</v>
      </c>
      <c r="K91" s="6">
        <f t="shared" si="8"/>
        <v>10</v>
      </c>
      <c r="L91" s="6">
        <f t="shared" si="9"/>
        <v>165.3</v>
      </c>
      <c r="M91" s="36">
        <f t="shared" si="11"/>
        <v>0.1</v>
      </c>
      <c r="N91" s="82">
        <f t="shared" si="12"/>
        <v>0</v>
      </c>
      <c r="O91" s="82">
        <f t="shared" si="13"/>
        <v>1</v>
      </c>
    </row>
    <row r="92" spans="3:15" hidden="1" x14ac:dyDescent="0.35">
      <c r="C92" s="82">
        <v>1</v>
      </c>
      <c r="D92" s="36">
        <v>0.25</v>
      </c>
      <c r="E92" s="6">
        <v>100</v>
      </c>
      <c r="F92" s="6">
        <v>105</v>
      </c>
      <c r="G92" s="6">
        <v>115</v>
      </c>
      <c r="H92" s="6">
        <v>254.8</v>
      </c>
      <c r="J92" s="36">
        <f t="shared" si="10"/>
        <v>0.05</v>
      </c>
      <c r="K92" s="6">
        <f t="shared" si="8"/>
        <v>15</v>
      </c>
      <c r="L92" s="6">
        <f t="shared" si="9"/>
        <v>253.8</v>
      </c>
      <c r="M92" s="36">
        <f t="shared" si="11"/>
        <v>0.15</v>
      </c>
      <c r="N92" s="82">
        <f t="shared" si="12"/>
        <v>0</v>
      </c>
      <c r="O92" s="82">
        <f t="shared" si="13"/>
        <v>0</v>
      </c>
    </row>
    <row r="93" spans="3:15" hidden="1" x14ac:dyDescent="0.35">
      <c r="C93" s="82">
        <v>1</v>
      </c>
      <c r="D93" s="36">
        <v>0.25</v>
      </c>
      <c r="E93" s="6">
        <v>100</v>
      </c>
      <c r="F93" s="6">
        <v>105</v>
      </c>
      <c r="G93" s="6">
        <v>120</v>
      </c>
      <c r="H93" s="6">
        <v>347.1</v>
      </c>
      <c r="J93" s="36">
        <f t="shared" si="10"/>
        <v>0.05</v>
      </c>
      <c r="K93" s="6">
        <f t="shared" si="8"/>
        <v>20</v>
      </c>
      <c r="L93" s="6">
        <f t="shared" si="9"/>
        <v>346.1</v>
      </c>
      <c r="M93" s="36">
        <f t="shared" si="11"/>
        <v>0.2</v>
      </c>
      <c r="N93" s="82">
        <f t="shared" si="12"/>
        <v>0</v>
      </c>
      <c r="O93" s="82">
        <f t="shared" si="13"/>
        <v>0</v>
      </c>
    </row>
    <row r="94" spans="3:15" hidden="1" x14ac:dyDescent="0.35">
      <c r="C94" s="82">
        <v>1</v>
      </c>
      <c r="D94" s="36">
        <v>0.25</v>
      </c>
      <c r="E94" s="6">
        <v>100</v>
      </c>
      <c r="F94" s="6">
        <v>105</v>
      </c>
      <c r="G94" s="6">
        <v>125</v>
      </c>
      <c r="H94" s="6">
        <v>441.7</v>
      </c>
      <c r="J94" s="36">
        <f t="shared" si="10"/>
        <v>0.05</v>
      </c>
      <c r="K94" s="6">
        <f t="shared" si="8"/>
        <v>25</v>
      </c>
      <c r="L94" s="6">
        <f t="shared" si="9"/>
        <v>440.7</v>
      </c>
      <c r="M94" s="36">
        <f t="shared" si="11"/>
        <v>0.25</v>
      </c>
      <c r="N94" s="82">
        <f t="shared" si="12"/>
        <v>0</v>
      </c>
      <c r="O94" s="82">
        <f t="shared" si="13"/>
        <v>0</v>
      </c>
    </row>
    <row r="95" spans="3:15" hidden="1" x14ac:dyDescent="0.35">
      <c r="C95" s="82">
        <v>1</v>
      </c>
      <c r="D95" s="36">
        <v>0.25</v>
      </c>
      <c r="E95" s="6">
        <v>100</v>
      </c>
      <c r="F95" s="6">
        <v>110</v>
      </c>
      <c r="G95" s="6">
        <v>101</v>
      </c>
      <c r="H95" s="6">
        <v>52.5</v>
      </c>
      <c r="J95" s="36">
        <f t="shared" si="10"/>
        <v>0.1</v>
      </c>
      <c r="K95" s="6">
        <f t="shared" ref="K95:K107" si="14">G95-E95</f>
        <v>1</v>
      </c>
      <c r="L95" s="6">
        <f t="shared" ref="L95:L107" si="15">H95-C95</f>
        <v>51.5</v>
      </c>
      <c r="M95" s="36">
        <f t="shared" si="11"/>
        <v>0.01</v>
      </c>
      <c r="N95" s="82">
        <f t="shared" si="12"/>
        <v>0</v>
      </c>
      <c r="O95" s="82">
        <f t="shared" si="13"/>
        <v>0</v>
      </c>
    </row>
    <row r="96" spans="3:15" hidden="1" x14ac:dyDescent="0.35">
      <c r="C96" s="82">
        <v>1</v>
      </c>
      <c r="D96" s="36">
        <v>0.25</v>
      </c>
      <c r="E96" s="6">
        <v>100</v>
      </c>
      <c r="F96" s="6">
        <v>110</v>
      </c>
      <c r="G96" s="6">
        <v>102</v>
      </c>
      <c r="H96" s="6">
        <v>82.5</v>
      </c>
      <c r="J96" s="36">
        <f t="shared" si="10"/>
        <v>0.1</v>
      </c>
      <c r="K96" s="6">
        <f t="shared" si="14"/>
        <v>2</v>
      </c>
      <c r="L96" s="6">
        <f t="shared" si="15"/>
        <v>81.5</v>
      </c>
      <c r="M96" s="36">
        <f t="shared" si="11"/>
        <v>0.02</v>
      </c>
      <c r="N96" s="82">
        <f t="shared" si="12"/>
        <v>0</v>
      </c>
      <c r="O96" s="82">
        <f t="shared" si="13"/>
        <v>0</v>
      </c>
    </row>
    <row r="97" spans="3:15" hidden="1" x14ac:dyDescent="0.35">
      <c r="C97" s="82">
        <v>1</v>
      </c>
      <c r="D97" s="36">
        <v>0.25</v>
      </c>
      <c r="E97" s="6">
        <v>100</v>
      </c>
      <c r="F97" s="6">
        <v>110</v>
      </c>
      <c r="G97" s="6">
        <v>103</v>
      </c>
      <c r="H97" s="6">
        <v>110.8</v>
      </c>
      <c r="J97" s="36">
        <f t="shared" si="10"/>
        <v>0.1</v>
      </c>
      <c r="K97" s="6">
        <f t="shared" si="14"/>
        <v>3</v>
      </c>
      <c r="L97" s="6">
        <f t="shared" si="15"/>
        <v>109.8</v>
      </c>
      <c r="M97" s="36">
        <f t="shared" si="11"/>
        <v>0.03</v>
      </c>
      <c r="N97" s="82">
        <f t="shared" si="12"/>
        <v>0</v>
      </c>
      <c r="O97" s="82">
        <f t="shared" si="13"/>
        <v>0</v>
      </c>
    </row>
    <row r="98" spans="3:15" hidden="1" x14ac:dyDescent="0.35">
      <c r="C98" s="82">
        <v>1</v>
      </c>
      <c r="D98" s="36">
        <v>0.25</v>
      </c>
      <c r="E98" s="6">
        <v>100</v>
      </c>
      <c r="F98" s="6">
        <v>110</v>
      </c>
      <c r="G98" s="6">
        <v>104</v>
      </c>
      <c r="H98" s="6">
        <v>138.69999999999999</v>
      </c>
      <c r="J98" s="36">
        <f t="shared" si="10"/>
        <v>0.1</v>
      </c>
      <c r="K98" s="6">
        <f t="shared" si="14"/>
        <v>4</v>
      </c>
      <c r="L98" s="6">
        <f t="shared" si="15"/>
        <v>137.69999999999999</v>
      </c>
      <c r="M98" s="36">
        <f t="shared" si="11"/>
        <v>0.04</v>
      </c>
      <c r="N98" s="82">
        <f t="shared" si="12"/>
        <v>0</v>
      </c>
      <c r="O98" s="82">
        <f t="shared" si="13"/>
        <v>0</v>
      </c>
    </row>
    <row r="99" spans="3:15" hidden="1" x14ac:dyDescent="0.35">
      <c r="C99" s="82">
        <v>1</v>
      </c>
      <c r="D99" s="36">
        <v>0.25</v>
      </c>
      <c r="E99" s="6">
        <v>100</v>
      </c>
      <c r="F99" s="6">
        <v>110</v>
      </c>
      <c r="G99" s="6">
        <v>105</v>
      </c>
      <c r="H99" s="6">
        <v>166.3</v>
      </c>
      <c r="J99" s="36">
        <f t="shared" si="10"/>
        <v>0.1</v>
      </c>
      <c r="K99" s="6">
        <f t="shared" si="14"/>
        <v>5</v>
      </c>
      <c r="L99" s="6">
        <f t="shared" si="15"/>
        <v>165.3</v>
      </c>
      <c r="M99" s="36">
        <f t="shared" si="11"/>
        <v>0.05</v>
      </c>
      <c r="N99" s="82">
        <f t="shared" si="12"/>
        <v>0</v>
      </c>
      <c r="O99" s="82">
        <f t="shared" si="13"/>
        <v>0</v>
      </c>
    </row>
    <row r="100" spans="3:15" hidden="1" x14ac:dyDescent="0.35">
      <c r="C100" s="82">
        <v>1</v>
      </c>
      <c r="D100" s="36">
        <v>0.25</v>
      </c>
      <c r="E100" s="6">
        <v>100</v>
      </c>
      <c r="F100" s="6">
        <v>110</v>
      </c>
      <c r="G100" s="6">
        <v>106</v>
      </c>
      <c r="H100" s="6">
        <v>193.9</v>
      </c>
      <c r="J100" s="36">
        <f t="shared" si="10"/>
        <v>0.1</v>
      </c>
      <c r="K100" s="6">
        <f t="shared" si="14"/>
        <v>6</v>
      </c>
      <c r="L100" s="6">
        <f t="shared" si="15"/>
        <v>192.9</v>
      </c>
      <c r="M100" s="36">
        <f t="shared" si="11"/>
        <v>0.06</v>
      </c>
      <c r="N100" s="82">
        <f t="shared" si="12"/>
        <v>0</v>
      </c>
      <c r="O100" s="82">
        <f t="shared" si="13"/>
        <v>0</v>
      </c>
    </row>
    <row r="101" spans="3:15" hidden="1" x14ac:dyDescent="0.35">
      <c r="C101" s="82">
        <v>1</v>
      </c>
      <c r="D101" s="36">
        <v>0.25</v>
      </c>
      <c r="E101" s="6">
        <v>100</v>
      </c>
      <c r="F101" s="6">
        <v>110</v>
      </c>
      <c r="G101" s="6">
        <v>107</v>
      </c>
      <c r="H101" s="6">
        <v>221.4</v>
      </c>
      <c r="J101" s="36">
        <f t="shared" si="10"/>
        <v>0.1</v>
      </c>
      <c r="K101" s="6">
        <f t="shared" si="14"/>
        <v>7</v>
      </c>
      <c r="L101" s="6">
        <f t="shared" si="15"/>
        <v>220.4</v>
      </c>
      <c r="M101" s="36">
        <f t="shared" si="11"/>
        <v>7.0000000000000007E-2</v>
      </c>
      <c r="N101" s="82">
        <f t="shared" si="12"/>
        <v>0</v>
      </c>
      <c r="O101" s="82">
        <f t="shared" si="13"/>
        <v>0</v>
      </c>
    </row>
    <row r="102" spans="3:15" hidden="1" x14ac:dyDescent="0.35">
      <c r="C102" s="82">
        <v>1</v>
      </c>
      <c r="D102" s="36">
        <v>0.25</v>
      </c>
      <c r="E102" s="6">
        <v>100</v>
      </c>
      <c r="F102" s="6">
        <v>110</v>
      </c>
      <c r="G102" s="6">
        <v>108</v>
      </c>
      <c r="H102" s="6">
        <v>249.1</v>
      </c>
      <c r="J102" s="36">
        <f t="shared" si="10"/>
        <v>0.1</v>
      </c>
      <c r="K102" s="6">
        <f t="shared" si="14"/>
        <v>8</v>
      </c>
      <c r="L102" s="6">
        <f t="shared" si="15"/>
        <v>248.1</v>
      </c>
      <c r="M102" s="36">
        <f t="shared" si="11"/>
        <v>0.08</v>
      </c>
      <c r="N102" s="82">
        <f t="shared" si="12"/>
        <v>0</v>
      </c>
      <c r="O102" s="82">
        <f t="shared" si="13"/>
        <v>0</v>
      </c>
    </row>
    <row r="103" spans="3:15" hidden="1" x14ac:dyDescent="0.35">
      <c r="C103" s="82">
        <v>1</v>
      </c>
      <c r="D103" s="36">
        <v>0.25</v>
      </c>
      <c r="E103" s="6">
        <v>100</v>
      </c>
      <c r="F103" s="6">
        <v>110</v>
      </c>
      <c r="G103" s="6">
        <v>109</v>
      </c>
      <c r="H103" s="6">
        <v>276.8</v>
      </c>
      <c r="J103" s="36">
        <f t="shared" si="10"/>
        <v>0.1</v>
      </c>
      <c r="K103" s="6">
        <f t="shared" si="14"/>
        <v>9</v>
      </c>
      <c r="L103" s="6">
        <f t="shared" si="15"/>
        <v>275.8</v>
      </c>
      <c r="M103" s="36">
        <f t="shared" si="11"/>
        <v>0.09</v>
      </c>
      <c r="N103" s="82">
        <f t="shared" si="12"/>
        <v>0</v>
      </c>
      <c r="O103" s="82">
        <f t="shared" si="13"/>
        <v>0</v>
      </c>
    </row>
    <row r="104" spans="3:15" hidden="1" x14ac:dyDescent="0.35">
      <c r="C104" s="82">
        <v>1</v>
      </c>
      <c r="D104" s="36">
        <v>0.25</v>
      </c>
      <c r="E104" s="6">
        <v>100</v>
      </c>
      <c r="F104" s="6">
        <v>110</v>
      </c>
      <c r="G104" s="6">
        <v>110</v>
      </c>
      <c r="H104" s="6">
        <v>304.60000000000002</v>
      </c>
      <c r="J104" s="36">
        <f t="shared" si="10"/>
        <v>0.1</v>
      </c>
      <c r="K104" s="6">
        <f t="shared" si="14"/>
        <v>10</v>
      </c>
      <c r="L104" s="6">
        <f t="shared" si="15"/>
        <v>303.60000000000002</v>
      </c>
      <c r="M104" s="36">
        <f t="shared" si="11"/>
        <v>0.1</v>
      </c>
      <c r="N104" s="82">
        <f t="shared" si="12"/>
        <v>1</v>
      </c>
      <c r="O104" s="82">
        <f t="shared" si="13"/>
        <v>0</v>
      </c>
    </row>
    <row r="105" spans="3:15" hidden="1" x14ac:dyDescent="0.35">
      <c r="C105" s="82">
        <v>1</v>
      </c>
      <c r="D105" s="36">
        <v>0.25</v>
      </c>
      <c r="E105" s="6">
        <v>100</v>
      </c>
      <c r="F105" s="6">
        <v>110</v>
      </c>
      <c r="G105" s="6">
        <v>115</v>
      </c>
      <c r="H105" s="6">
        <v>444.4</v>
      </c>
      <c r="J105" s="36">
        <f t="shared" si="10"/>
        <v>0.1</v>
      </c>
      <c r="K105" s="6">
        <f t="shared" si="14"/>
        <v>15</v>
      </c>
      <c r="L105" s="6">
        <f t="shared" si="15"/>
        <v>443.4</v>
      </c>
      <c r="M105" s="36">
        <f t="shared" si="11"/>
        <v>0.15</v>
      </c>
      <c r="N105" s="82">
        <f t="shared" si="12"/>
        <v>0</v>
      </c>
      <c r="O105" s="82">
        <f t="shared" si="13"/>
        <v>0</v>
      </c>
    </row>
    <row r="106" spans="3:15" hidden="1" x14ac:dyDescent="0.35">
      <c r="C106" s="82">
        <v>1</v>
      </c>
      <c r="D106" s="36">
        <v>0.25</v>
      </c>
      <c r="E106" s="6">
        <v>100</v>
      </c>
      <c r="F106" s="6">
        <v>110</v>
      </c>
      <c r="G106" s="6">
        <v>120</v>
      </c>
      <c r="H106" s="6">
        <v>585.20000000000005</v>
      </c>
      <c r="J106" s="36">
        <f t="shared" si="10"/>
        <v>0.1</v>
      </c>
      <c r="K106" s="6">
        <f t="shared" si="14"/>
        <v>20</v>
      </c>
      <c r="L106" s="6">
        <f t="shared" si="15"/>
        <v>584.20000000000005</v>
      </c>
      <c r="M106" s="36">
        <f t="shared" si="11"/>
        <v>0.2</v>
      </c>
      <c r="N106" s="82">
        <f t="shared" si="12"/>
        <v>0</v>
      </c>
      <c r="O106" s="82">
        <f t="shared" si="13"/>
        <v>1</v>
      </c>
    </row>
    <row r="107" spans="3:15" hidden="1" x14ac:dyDescent="0.35">
      <c r="C107" s="82">
        <v>1</v>
      </c>
      <c r="D107" s="36">
        <v>0.25</v>
      </c>
      <c r="E107" s="6">
        <v>100</v>
      </c>
      <c r="F107" s="6">
        <v>110</v>
      </c>
      <c r="G107" s="6">
        <v>125</v>
      </c>
      <c r="H107" s="6">
        <v>726.2</v>
      </c>
      <c r="J107" s="36">
        <f t="shared" si="10"/>
        <v>0.1</v>
      </c>
      <c r="K107" s="6">
        <f t="shared" si="14"/>
        <v>25</v>
      </c>
      <c r="L107" s="6">
        <f t="shared" si="15"/>
        <v>725.2</v>
      </c>
      <c r="M107" s="36">
        <f t="shared" si="11"/>
        <v>0.25</v>
      </c>
      <c r="N107" s="82">
        <f t="shared" si="12"/>
        <v>0</v>
      </c>
      <c r="O107" s="82">
        <f t="shared" si="13"/>
        <v>0</v>
      </c>
    </row>
    <row r="108" spans="3:15" hidden="1" x14ac:dyDescent="0.35">
      <c r="C108" s="82">
        <v>1</v>
      </c>
      <c r="D108" s="36">
        <v>0.25</v>
      </c>
      <c r="E108" s="6">
        <v>100</v>
      </c>
      <c r="F108" s="6">
        <v>115</v>
      </c>
      <c r="G108" s="6">
        <v>101</v>
      </c>
      <c r="H108" s="6">
        <v>88.9</v>
      </c>
      <c r="J108" s="36">
        <f t="shared" si="10"/>
        <v>0.15</v>
      </c>
      <c r="K108" s="6">
        <f t="shared" ref="K108:K133" si="16">G108-E108</f>
        <v>1</v>
      </c>
      <c r="L108" s="6">
        <f t="shared" ref="L108:L133" si="17">H108-C108</f>
        <v>87.9</v>
      </c>
      <c r="M108" s="36">
        <f t="shared" si="11"/>
        <v>0.01</v>
      </c>
      <c r="N108" s="82">
        <f t="shared" si="12"/>
        <v>0</v>
      </c>
      <c r="O108" s="82">
        <f t="shared" si="13"/>
        <v>0</v>
      </c>
    </row>
    <row r="109" spans="3:15" hidden="1" x14ac:dyDescent="0.35">
      <c r="C109" s="82">
        <v>1</v>
      </c>
      <c r="D109" s="36">
        <v>0.25</v>
      </c>
      <c r="E109" s="6">
        <v>100</v>
      </c>
      <c r="F109" s="6">
        <v>115</v>
      </c>
      <c r="G109" s="6">
        <v>102</v>
      </c>
      <c r="H109" s="6">
        <v>134.19999999999999</v>
      </c>
      <c r="J109" s="36">
        <f t="shared" si="10"/>
        <v>0.15</v>
      </c>
      <c r="K109" s="6">
        <f t="shared" si="16"/>
        <v>2</v>
      </c>
      <c r="L109" s="6">
        <f t="shared" si="17"/>
        <v>133.19999999999999</v>
      </c>
      <c r="M109" s="36">
        <f t="shared" si="11"/>
        <v>0.02</v>
      </c>
      <c r="N109" s="82">
        <f t="shared" si="12"/>
        <v>0</v>
      </c>
      <c r="O109" s="82">
        <f t="shared" si="13"/>
        <v>0</v>
      </c>
    </row>
    <row r="110" spans="3:15" hidden="1" x14ac:dyDescent="0.35">
      <c r="C110" s="82">
        <v>1</v>
      </c>
      <c r="D110" s="36">
        <v>0.25</v>
      </c>
      <c r="E110" s="6">
        <v>100</v>
      </c>
      <c r="F110" s="6">
        <v>115</v>
      </c>
      <c r="G110" s="6">
        <v>103</v>
      </c>
      <c r="H110" s="6">
        <v>175.8</v>
      </c>
      <c r="J110" s="36">
        <f t="shared" si="10"/>
        <v>0.15</v>
      </c>
      <c r="K110" s="6">
        <f t="shared" si="16"/>
        <v>3</v>
      </c>
      <c r="L110" s="6">
        <f t="shared" si="17"/>
        <v>174.8</v>
      </c>
      <c r="M110" s="36">
        <f t="shared" si="11"/>
        <v>0.03</v>
      </c>
      <c r="N110" s="82">
        <f t="shared" si="12"/>
        <v>0</v>
      </c>
      <c r="O110" s="82">
        <f t="shared" si="13"/>
        <v>0</v>
      </c>
    </row>
    <row r="111" spans="3:15" hidden="1" x14ac:dyDescent="0.35">
      <c r="C111" s="82">
        <v>1</v>
      </c>
      <c r="D111" s="36">
        <v>0.25</v>
      </c>
      <c r="E111" s="6">
        <v>100</v>
      </c>
      <c r="F111" s="6">
        <v>115</v>
      </c>
      <c r="G111" s="6">
        <v>104</v>
      </c>
      <c r="H111" s="6">
        <v>215.8</v>
      </c>
      <c r="J111" s="36">
        <f t="shared" si="10"/>
        <v>0.15</v>
      </c>
      <c r="K111" s="6">
        <f t="shared" si="16"/>
        <v>4</v>
      </c>
      <c r="L111" s="6">
        <f t="shared" si="17"/>
        <v>214.8</v>
      </c>
      <c r="M111" s="36">
        <f t="shared" si="11"/>
        <v>0.04</v>
      </c>
      <c r="N111" s="82">
        <f t="shared" si="12"/>
        <v>0</v>
      </c>
      <c r="O111" s="82">
        <f t="shared" si="13"/>
        <v>0</v>
      </c>
    </row>
    <row r="112" spans="3:15" hidden="1" x14ac:dyDescent="0.35">
      <c r="C112" s="82">
        <v>1</v>
      </c>
      <c r="D112" s="36">
        <v>0.25</v>
      </c>
      <c r="E112" s="6">
        <v>100</v>
      </c>
      <c r="F112" s="6">
        <v>115</v>
      </c>
      <c r="G112" s="6">
        <v>105</v>
      </c>
      <c r="H112" s="6">
        <v>254.8</v>
      </c>
      <c r="J112" s="36">
        <f t="shared" si="10"/>
        <v>0.15</v>
      </c>
      <c r="K112" s="6">
        <f t="shared" si="16"/>
        <v>5</v>
      </c>
      <c r="L112" s="6">
        <f t="shared" si="17"/>
        <v>253.8</v>
      </c>
      <c r="M112" s="36">
        <f t="shared" si="11"/>
        <v>0.05</v>
      </c>
      <c r="N112" s="82">
        <f t="shared" si="12"/>
        <v>0</v>
      </c>
      <c r="O112" s="82">
        <f t="shared" si="13"/>
        <v>0</v>
      </c>
    </row>
    <row r="113" spans="3:15" hidden="1" x14ac:dyDescent="0.35">
      <c r="C113" s="82">
        <v>1</v>
      </c>
      <c r="D113" s="36">
        <v>0.25</v>
      </c>
      <c r="E113" s="6">
        <v>100</v>
      </c>
      <c r="F113" s="6">
        <v>115</v>
      </c>
      <c r="G113" s="6">
        <v>106</v>
      </c>
      <c r="H113" s="6">
        <v>293.3</v>
      </c>
      <c r="J113" s="36">
        <f t="shared" si="10"/>
        <v>0.15</v>
      </c>
      <c r="K113" s="6">
        <f t="shared" si="16"/>
        <v>6</v>
      </c>
      <c r="L113" s="6">
        <f t="shared" si="17"/>
        <v>292.3</v>
      </c>
      <c r="M113" s="36">
        <f t="shared" si="11"/>
        <v>0.06</v>
      </c>
      <c r="N113" s="82">
        <f t="shared" si="12"/>
        <v>0</v>
      </c>
      <c r="O113" s="82">
        <f t="shared" si="13"/>
        <v>0</v>
      </c>
    </row>
    <row r="114" spans="3:15" hidden="1" x14ac:dyDescent="0.35">
      <c r="C114" s="82">
        <v>1</v>
      </c>
      <c r="D114" s="36">
        <v>0.25</v>
      </c>
      <c r="E114" s="6">
        <v>100</v>
      </c>
      <c r="F114" s="6">
        <v>115</v>
      </c>
      <c r="G114" s="6">
        <v>107</v>
      </c>
      <c r="H114" s="6">
        <v>331.5</v>
      </c>
      <c r="J114" s="36">
        <f t="shared" si="10"/>
        <v>0.15</v>
      </c>
      <c r="K114" s="6">
        <f t="shared" si="16"/>
        <v>7</v>
      </c>
      <c r="L114" s="6">
        <f t="shared" si="17"/>
        <v>330.5</v>
      </c>
      <c r="M114" s="36">
        <f t="shared" si="11"/>
        <v>7.0000000000000007E-2</v>
      </c>
      <c r="N114" s="82">
        <f t="shared" si="12"/>
        <v>0</v>
      </c>
      <c r="O114" s="82">
        <f t="shared" si="13"/>
        <v>0</v>
      </c>
    </row>
    <row r="115" spans="3:15" hidden="1" x14ac:dyDescent="0.35">
      <c r="C115" s="82">
        <v>1</v>
      </c>
      <c r="D115" s="36">
        <v>0.25</v>
      </c>
      <c r="E115" s="6">
        <v>100</v>
      </c>
      <c r="F115" s="6">
        <v>115</v>
      </c>
      <c r="G115" s="6">
        <v>108</v>
      </c>
      <c r="H115" s="6">
        <v>369.3</v>
      </c>
      <c r="J115" s="36">
        <f t="shared" si="10"/>
        <v>0.15</v>
      </c>
      <c r="K115" s="6">
        <f t="shared" si="16"/>
        <v>8</v>
      </c>
      <c r="L115" s="6">
        <f t="shared" si="17"/>
        <v>368.3</v>
      </c>
      <c r="M115" s="36">
        <f t="shared" si="11"/>
        <v>0.08</v>
      </c>
      <c r="N115" s="82">
        <f t="shared" si="12"/>
        <v>0</v>
      </c>
      <c r="O115" s="82">
        <f t="shared" si="13"/>
        <v>0</v>
      </c>
    </row>
    <row r="116" spans="3:15" hidden="1" x14ac:dyDescent="0.35">
      <c r="C116" s="82">
        <v>1</v>
      </c>
      <c r="D116" s="36">
        <v>0.25</v>
      </c>
      <c r="E116" s="6">
        <v>100</v>
      </c>
      <c r="F116" s="6">
        <v>115</v>
      </c>
      <c r="G116" s="6">
        <v>109</v>
      </c>
      <c r="H116" s="6">
        <v>407</v>
      </c>
      <c r="J116" s="36">
        <f t="shared" si="10"/>
        <v>0.15</v>
      </c>
      <c r="K116" s="6">
        <f t="shared" si="16"/>
        <v>9</v>
      </c>
      <c r="L116" s="6">
        <f t="shared" si="17"/>
        <v>406</v>
      </c>
      <c r="M116" s="36">
        <f t="shared" si="11"/>
        <v>0.09</v>
      </c>
      <c r="N116" s="82">
        <f t="shared" si="12"/>
        <v>0</v>
      </c>
      <c r="O116" s="82">
        <f t="shared" si="13"/>
        <v>0</v>
      </c>
    </row>
    <row r="117" spans="3:15" hidden="1" x14ac:dyDescent="0.35">
      <c r="C117" s="82">
        <v>1</v>
      </c>
      <c r="D117" s="36">
        <v>0.25</v>
      </c>
      <c r="E117" s="6">
        <v>100</v>
      </c>
      <c r="F117" s="6">
        <v>115</v>
      </c>
      <c r="G117" s="6">
        <v>110</v>
      </c>
      <c r="H117" s="6">
        <v>444.4</v>
      </c>
      <c r="J117" s="36">
        <f t="shared" si="10"/>
        <v>0.15</v>
      </c>
      <c r="K117" s="6">
        <f t="shared" si="16"/>
        <v>10</v>
      </c>
      <c r="L117" s="6">
        <f t="shared" si="17"/>
        <v>443.4</v>
      </c>
      <c r="M117" s="36">
        <f t="shared" si="11"/>
        <v>0.1</v>
      </c>
      <c r="N117" s="82">
        <f t="shared" si="12"/>
        <v>0</v>
      </c>
      <c r="O117" s="82">
        <f t="shared" si="13"/>
        <v>0</v>
      </c>
    </row>
    <row r="118" spans="3:15" hidden="1" x14ac:dyDescent="0.35">
      <c r="C118" s="82">
        <v>1</v>
      </c>
      <c r="D118" s="36">
        <v>0.25</v>
      </c>
      <c r="E118" s="6">
        <v>100</v>
      </c>
      <c r="F118" s="6">
        <v>115</v>
      </c>
      <c r="G118" s="6">
        <v>115</v>
      </c>
      <c r="H118" s="6">
        <v>630</v>
      </c>
      <c r="J118" s="36">
        <f t="shared" si="10"/>
        <v>0.15</v>
      </c>
      <c r="K118" s="6">
        <f t="shared" si="16"/>
        <v>15</v>
      </c>
      <c r="L118" s="6">
        <f t="shared" si="17"/>
        <v>629</v>
      </c>
      <c r="M118" s="36">
        <f t="shared" si="11"/>
        <v>0.15</v>
      </c>
      <c r="N118" s="82">
        <f t="shared" si="12"/>
        <v>1</v>
      </c>
      <c r="O118" s="82">
        <f t="shared" si="13"/>
        <v>0</v>
      </c>
    </row>
    <row r="119" spans="3:15" hidden="1" x14ac:dyDescent="0.35">
      <c r="C119" s="82">
        <v>1</v>
      </c>
      <c r="D119" s="36">
        <v>0.25</v>
      </c>
      <c r="E119" s="6">
        <v>100</v>
      </c>
      <c r="F119" s="6">
        <v>115</v>
      </c>
      <c r="G119" s="6">
        <v>120</v>
      </c>
      <c r="H119" s="6">
        <v>813</v>
      </c>
      <c r="J119" s="36">
        <f t="shared" si="10"/>
        <v>0.15</v>
      </c>
      <c r="K119" s="6">
        <f t="shared" si="16"/>
        <v>20</v>
      </c>
      <c r="L119" s="6">
        <f t="shared" si="17"/>
        <v>812</v>
      </c>
      <c r="M119" s="36">
        <f t="shared" si="11"/>
        <v>0.2</v>
      </c>
      <c r="N119" s="82">
        <f t="shared" si="12"/>
        <v>0</v>
      </c>
      <c r="O119" s="82">
        <f t="shared" si="13"/>
        <v>0</v>
      </c>
    </row>
    <row r="120" spans="3:15" hidden="1" x14ac:dyDescent="0.35">
      <c r="C120" s="82">
        <v>1</v>
      </c>
      <c r="D120" s="36">
        <v>0.25</v>
      </c>
      <c r="E120" s="6">
        <v>100</v>
      </c>
      <c r="F120" s="6">
        <v>115</v>
      </c>
      <c r="G120" s="6">
        <v>125</v>
      </c>
      <c r="H120" s="6">
        <v>993.6</v>
      </c>
      <c r="J120" s="36">
        <f t="shared" si="10"/>
        <v>0.15</v>
      </c>
      <c r="K120" s="6">
        <f t="shared" si="16"/>
        <v>25</v>
      </c>
      <c r="L120" s="6">
        <f t="shared" si="17"/>
        <v>992.6</v>
      </c>
      <c r="M120" s="36">
        <f t="shared" si="11"/>
        <v>0.25</v>
      </c>
      <c r="N120" s="82">
        <f t="shared" si="12"/>
        <v>0</v>
      </c>
      <c r="O120" s="82">
        <f t="shared" si="13"/>
        <v>0</v>
      </c>
    </row>
    <row r="121" spans="3:15" hidden="1" x14ac:dyDescent="0.35">
      <c r="C121" s="82">
        <v>1</v>
      </c>
      <c r="D121" s="36">
        <v>0.25</v>
      </c>
      <c r="E121" s="6">
        <v>100</v>
      </c>
      <c r="F121" s="6">
        <v>120</v>
      </c>
      <c r="G121" s="6">
        <v>101</v>
      </c>
      <c r="H121" s="6">
        <v>129.5</v>
      </c>
      <c r="J121" s="36">
        <f t="shared" si="10"/>
        <v>0.2</v>
      </c>
      <c r="K121" s="6">
        <f t="shared" si="16"/>
        <v>1</v>
      </c>
      <c r="L121" s="6">
        <f t="shared" si="17"/>
        <v>128.5</v>
      </c>
      <c r="M121" s="36">
        <f t="shared" si="11"/>
        <v>0.01</v>
      </c>
      <c r="N121" s="82">
        <f t="shared" si="12"/>
        <v>0</v>
      </c>
      <c r="O121" s="82">
        <f t="shared" si="13"/>
        <v>0</v>
      </c>
    </row>
    <row r="122" spans="3:15" hidden="1" x14ac:dyDescent="0.35">
      <c r="C122" s="82">
        <v>1</v>
      </c>
      <c r="D122" s="36">
        <v>0.25</v>
      </c>
      <c r="E122" s="6">
        <v>100</v>
      </c>
      <c r="F122" s="6">
        <v>120</v>
      </c>
      <c r="G122" s="6">
        <v>102</v>
      </c>
      <c r="H122" s="6">
        <v>190.4</v>
      </c>
      <c r="J122" s="36">
        <f t="shared" si="10"/>
        <v>0.2</v>
      </c>
      <c r="K122" s="6">
        <f t="shared" si="16"/>
        <v>2</v>
      </c>
      <c r="L122" s="6">
        <f t="shared" si="17"/>
        <v>189.4</v>
      </c>
      <c r="M122" s="36">
        <f t="shared" si="11"/>
        <v>0.02</v>
      </c>
      <c r="N122" s="82">
        <f t="shared" si="12"/>
        <v>0</v>
      </c>
      <c r="O122" s="82">
        <f t="shared" si="13"/>
        <v>0</v>
      </c>
    </row>
    <row r="123" spans="3:15" hidden="1" x14ac:dyDescent="0.35">
      <c r="C123" s="82">
        <v>1</v>
      </c>
      <c r="D123" s="36">
        <v>0.25</v>
      </c>
      <c r="E123" s="6">
        <v>100</v>
      </c>
      <c r="F123" s="6">
        <v>120</v>
      </c>
      <c r="G123" s="6">
        <v>103</v>
      </c>
      <c r="H123" s="6">
        <v>245.1</v>
      </c>
      <c r="J123" s="36">
        <f t="shared" si="10"/>
        <v>0.2</v>
      </c>
      <c r="K123" s="6">
        <f t="shared" si="16"/>
        <v>3</v>
      </c>
      <c r="L123" s="6">
        <f t="shared" si="17"/>
        <v>244.1</v>
      </c>
      <c r="M123" s="36">
        <f t="shared" si="11"/>
        <v>0.03</v>
      </c>
      <c r="N123" s="82">
        <f t="shared" si="12"/>
        <v>0</v>
      </c>
      <c r="O123" s="82">
        <f t="shared" si="13"/>
        <v>0</v>
      </c>
    </row>
    <row r="124" spans="3:15" hidden="1" x14ac:dyDescent="0.35">
      <c r="C124" s="82">
        <v>1</v>
      </c>
      <c r="D124" s="36">
        <v>0.25</v>
      </c>
      <c r="E124" s="6">
        <v>100</v>
      </c>
      <c r="F124" s="6">
        <v>120</v>
      </c>
      <c r="G124" s="6">
        <v>104</v>
      </c>
      <c r="H124" s="6">
        <v>296.89999999999998</v>
      </c>
      <c r="J124" s="36">
        <f t="shared" si="10"/>
        <v>0.2</v>
      </c>
      <c r="K124" s="6">
        <f t="shared" si="16"/>
        <v>4</v>
      </c>
      <c r="L124" s="6">
        <f t="shared" si="17"/>
        <v>295.89999999999998</v>
      </c>
      <c r="M124" s="36">
        <f t="shared" si="11"/>
        <v>0.04</v>
      </c>
      <c r="N124" s="82">
        <f t="shared" si="12"/>
        <v>0</v>
      </c>
      <c r="O124" s="82">
        <f t="shared" si="13"/>
        <v>0</v>
      </c>
    </row>
    <row r="125" spans="3:15" hidden="1" x14ac:dyDescent="0.35">
      <c r="C125" s="82">
        <v>1</v>
      </c>
      <c r="D125" s="36">
        <v>0.25</v>
      </c>
      <c r="E125" s="6">
        <v>100</v>
      </c>
      <c r="F125" s="6">
        <v>120</v>
      </c>
      <c r="G125" s="6">
        <v>105</v>
      </c>
      <c r="H125" s="6">
        <v>347.1</v>
      </c>
      <c r="J125" s="36">
        <f t="shared" si="10"/>
        <v>0.2</v>
      </c>
      <c r="K125" s="6">
        <f t="shared" si="16"/>
        <v>5</v>
      </c>
      <c r="L125" s="6">
        <f t="shared" si="17"/>
        <v>346.1</v>
      </c>
      <c r="M125" s="36">
        <f t="shared" si="11"/>
        <v>0.05</v>
      </c>
      <c r="N125" s="82">
        <f t="shared" si="12"/>
        <v>0</v>
      </c>
      <c r="O125" s="82">
        <f t="shared" si="13"/>
        <v>0</v>
      </c>
    </row>
    <row r="126" spans="3:15" hidden="1" x14ac:dyDescent="0.35">
      <c r="C126" s="82">
        <v>1</v>
      </c>
      <c r="D126" s="36">
        <v>0.25</v>
      </c>
      <c r="E126" s="6">
        <v>100</v>
      </c>
      <c r="F126" s="6">
        <v>120</v>
      </c>
      <c r="G126" s="6">
        <v>106</v>
      </c>
      <c r="H126" s="6">
        <v>396</v>
      </c>
      <c r="J126" s="36">
        <f t="shared" si="10"/>
        <v>0.2</v>
      </c>
      <c r="K126" s="6">
        <f t="shared" si="16"/>
        <v>6</v>
      </c>
      <c r="L126" s="6">
        <f t="shared" si="17"/>
        <v>395</v>
      </c>
      <c r="M126" s="36">
        <f t="shared" si="11"/>
        <v>0.06</v>
      </c>
      <c r="N126" s="82">
        <f t="shared" si="12"/>
        <v>0</v>
      </c>
      <c r="O126" s="82">
        <f t="shared" si="13"/>
        <v>0</v>
      </c>
    </row>
    <row r="127" spans="3:15" hidden="1" x14ac:dyDescent="0.35">
      <c r="C127" s="82">
        <v>1</v>
      </c>
      <c r="D127" s="36">
        <v>0.25</v>
      </c>
      <c r="E127" s="6">
        <v>100</v>
      </c>
      <c r="F127" s="6">
        <v>120</v>
      </c>
      <c r="G127" s="6">
        <v>107</v>
      </c>
      <c r="H127" s="6">
        <v>444.2</v>
      </c>
      <c r="J127" s="36">
        <f t="shared" si="10"/>
        <v>0.2</v>
      </c>
      <c r="K127" s="6">
        <f t="shared" si="16"/>
        <v>7</v>
      </c>
      <c r="L127" s="6">
        <f t="shared" si="17"/>
        <v>443.2</v>
      </c>
      <c r="M127" s="36">
        <f t="shared" si="11"/>
        <v>7.0000000000000007E-2</v>
      </c>
      <c r="N127" s="82">
        <f t="shared" si="12"/>
        <v>0</v>
      </c>
      <c r="O127" s="82">
        <f t="shared" si="13"/>
        <v>0</v>
      </c>
    </row>
    <row r="128" spans="3:15" hidden="1" x14ac:dyDescent="0.35">
      <c r="C128" s="82">
        <v>1</v>
      </c>
      <c r="D128" s="36">
        <v>0.25</v>
      </c>
      <c r="E128" s="6">
        <v>100</v>
      </c>
      <c r="F128" s="6">
        <v>120</v>
      </c>
      <c r="G128" s="6">
        <v>108</v>
      </c>
      <c r="H128" s="6">
        <v>491.7</v>
      </c>
      <c r="J128" s="36">
        <f t="shared" si="10"/>
        <v>0.2</v>
      </c>
      <c r="K128" s="6">
        <f t="shared" si="16"/>
        <v>8</v>
      </c>
      <c r="L128" s="6">
        <f t="shared" si="17"/>
        <v>490.7</v>
      </c>
      <c r="M128" s="36">
        <f t="shared" si="11"/>
        <v>0.08</v>
      </c>
      <c r="N128" s="82">
        <f t="shared" si="12"/>
        <v>0</v>
      </c>
      <c r="O128" s="82">
        <f t="shared" si="13"/>
        <v>0</v>
      </c>
    </row>
    <row r="129" spans="3:15" hidden="1" x14ac:dyDescent="0.35">
      <c r="C129" s="82">
        <v>1</v>
      </c>
      <c r="D129" s="36">
        <v>0.25</v>
      </c>
      <c r="E129" s="6">
        <v>100</v>
      </c>
      <c r="F129" s="6">
        <v>120</v>
      </c>
      <c r="G129" s="6">
        <v>109</v>
      </c>
      <c r="H129" s="6">
        <v>538.70000000000005</v>
      </c>
      <c r="J129" s="36">
        <f t="shared" si="10"/>
        <v>0.2</v>
      </c>
      <c r="K129" s="6">
        <f t="shared" si="16"/>
        <v>9</v>
      </c>
      <c r="L129" s="6">
        <f t="shared" si="17"/>
        <v>537.70000000000005</v>
      </c>
      <c r="M129" s="36">
        <f t="shared" si="11"/>
        <v>0.09</v>
      </c>
      <c r="N129" s="82">
        <f t="shared" si="12"/>
        <v>0</v>
      </c>
      <c r="O129" s="82">
        <f t="shared" si="13"/>
        <v>0</v>
      </c>
    </row>
    <row r="130" spans="3:15" hidden="1" x14ac:dyDescent="0.35">
      <c r="C130" s="82">
        <v>1</v>
      </c>
      <c r="D130" s="36">
        <v>0.25</v>
      </c>
      <c r="E130" s="6">
        <v>100</v>
      </c>
      <c r="F130" s="6">
        <v>120</v>
      </c>
      <c r="G130" s="6">
        <v>110</v>
      </c>
      <c r="H130" s="6">
        <v>585.20000000000005</v>
      </c>
      <c r="J130" s="36">
        <f t="shared" si="10"/>
        <v>0.2</v>
      </c>
      <c r="K130" s="6">
        <f t="shared" si="16"/>
        <v>10</v>
      </c>
      <c r="L130" s="6">
        <f t="shared" si="17"/>
        <v>584.20000000000005</v>
      </c>
      <c r="M130" s="36">
        <f t="shared" si="11"/>
        <v>0.1</v>
      </c>
      <c r="N130" s="82">
        <f t="shared" si="12"/>
        <v>0</v>
      </c>
      <c r="O130" s="82">
        <f t="shared" si="13"/>
        <v>0</v>
      </c>
    </row>
    <row r="131" spans="3:15" hidden="1" x14ac:dyDescent="0.35">
      <c r="C131" s="82">
        <v>1</v>
      </c>
      <c r="D131" s="36">
        <v>0.25</v>
      </c>
      <c r="E131" s="6">
        <v>100</v>
      </c>
      <c r="F131" s="6">
        <v>120</v>
      </c>
      <c r="G131" s="6">
        <v>115</v>
      </c>
      <c r="H131" s="6">
        <v>813</v>
      </c>
      <c r="J131" s="36">
        <f t="shared" si="10"/>
        <v>0.2</v>
      </c>
      <c r="K131" s="6">
        <f t="shared" si="16"/>
        <v>15</v>
      </c>
      <c r="L131" s="6">
        <f t="shared" si="17"/>
        <v>812</v>
      </c>
      <c r="M131" s="36">
        <f t="shared" si="11"/>
        <v>0.15</v>
      </c>
      <c r="N131" s="82">
        <f t="shared" si="12"/>
        <v>0</v>
      </c>
      <c r="O131" s="82">
        <f t="shared" si="13"/>
        <v>0</v>
      </c>
    </row>
    <row r="132" spans="3:15" hidden="1" x14ac:dyDescent="0.35">
      <c r="C132" s="82">
        <v>1</v>
      </c>
      <c r="D132" s="36">
        <v>0.25</v>
      </c>
      <c r="E132" s="6">
        <v>100</v>
      </c>
      <c r="F132" s="6">
        <v>120</v>
      </c>
      <c r="G132" s="6">
        <v>120</v>
      </c>
      <c r="H132" s="6">
        <v>1034.4000000000001</v>
      </c>
      <c r="J132" s="36">
        <f t="shared" si="10"/>
        <v>0.2</v>
      </c>
      <c r="K132" s="6">
        <f t="shared" si="16"/>
        <v>20</v>
      </c>
      <c r="L132" s="6">
        <f t="shared" si="17"/>
        <v>1033.4000000000001</v>
      </c>
      <c r="M132" s="36">
        <f t="shared" si="11"/>
        <v>0.2</v>
      </c>
      <c r="N132" s="82">
        <f t="shared" si="12"/>
        <v>1</v>
      </c>
      <c r="O132" s="82">
        <f t="shared" si="13"/>
        <v>0</v>
      </c>
    </row>
    <row r="133" spans="3:15" hidden="1" x14ac:dyDescent="0.35">
      <c r="C133" s="82">
        <v>1</v>
      </c>
      <c r="D133" s="36">
        <v>0.25</v>
      </c>
      <c r="E133" s="6">
        <v>100</v>
      </c>
      <c r="F133" s="6">
        <v>120</v>
      </c>
      <c r="G133" s="6">
        <v>125</v>
      </c>
      <c r="H133" s="6">
        <v>1250.5999999999999</v>
      </c>
      <c r="J133" s="36">
        <f t="shared" si="10"/>
        <v>0.2</v>
      </c>
      <c r="K133" s="6">
        <f t="shared" si="16"/>
        <v>25</v>
      </c>
      <c r="L133" s="6">
        <f t="shared" si="17"/>
        <v>1249.5999999999999</v>
      </c>
      <c r="M133" s="36">
        <f t="shared" si="11"/>
        <v>0.25</v>
      </c>
      <c r="N133" s="82">
        <f t="shared" si="12"/>
        <v>0</v>
      </c>
      <c r="O133" s="82">
        <f t="shared" si="13"/>
        <v>0</v>
      </c>
    </row>
    <row r="134" spans="3:15" x14ac:dyDescent="0.35">
      <c r="C134" s="82">
        <v>7</v>
      </c>
      <c r="D134" s="36">
        <v>0.25</v>
      </c>
      <c r="E134" s="6">
        <v>100</v>
      </c>
      <c r="F134" s="6">
        <v>100</v>
      </c>
      <c r="G134" s="6">
        <v>101</v>
      </c>
      <c r="H134" s="6">
        <v>12.3</v>
      </c>
      <c r="J134" s="36">
        <f t="shared" si="10"/>
        <v>0</v>
      </c>
      <c r="K134" s="6">
        <f t="shared" ref="K134:K197" si="18">G134-E134</f>
        <v>1</v>
      </c>
      <c r="L134" s="6">
        <f t="shared" ref="L134:L197" si="19">H134-C134</f>
        <v>5.3000000000000007</v>
      </c>
      <c r="M134" s="36">
        <f t="shared" si="11"/>
        <v>0.01</v>
      </c>
      <c r="N134" s="82">
        <f t="shared" si="12"/>
        <v>0</v>
      </c>
      <c r="O134" s="82">
        <f t="shared" si="13"/>
        <v>0</v>
      </c>
    </row>
    <row r="135" spans="3:15" x14ac:dyDescent="0.35">
      <c r="C135" s="82">
        <v>7</v>
      </c>
      <c r="D135" s="36">
        <v>0.25</v>
      </c>
      <c r="E135" s="6">
        <v>100</v>
      </c>
      <c r="F135" s="6">
        <v>100</v>
      </c>
      <c r="G135" s="6">
        <v>102</v>
      </c>
      <c r="H135" s="6">
        <v>18.100000000000001</v>
      </c>
      <c r="J135" s="36">
        <f t="shared" si="10"/>
        <v>0</v>
      </c>
      <c r="K135" s="6">
        <f t="shared" si="18"/>
        <v>2</v>
      </c>
      <c r="L135" s="6">
        <f t="shared" si="19"/>
        <v>11.100000000000001</v>
      </c>
      <c r="M135" s="36">
        <f t="shared" si="11"/>
        <v>0.02</v>
      </c>
      <c r="N135" s="82">
        <f t="shared" si="12"/>
        <v>0</v>
      </c>
      <c r="O135" s="82">
        <f t="shared" si="13"/>
        <v>0</v>
      </c>
    </row>
    <row r="136" spans="3:15" x14ac:dyDescent="0.35">
      <c r="C136" s="82">
        <v>7</v>
      </c>
      <c r="D136" s="36">
        <v>0.25</v>
      </c>
      <c r="E136" s="6">
        <v>100</v>
      </c>
      <c r="F136" s="6">
        <v>100</v>
      </c>
      <c r="G136" s="6">
        <v>103</v>
      </c>
      <c r="H136" s="6">
        <v>24.4</v>
      </c>
      <c r="J136" s="36">
        <f t="shared" si="10"/>
        <v>0</v>
      </c>
      <c r="K136" s="6">
        <f t="shared" si="18"/>
        <v>3</v>
      </c>
      <c r="L136" s="6">
        <f t="shared" si="19"/>
        <v>17.399999999999999</v>
      </c>
      <c r="M136" s="36">
        <f t="shared" si="11"/>
        <v>0.03</v>
      </c>
      <c r="N136" s="82">
        <f t="shared" si="12"/>
        <v>0</v>
      </c>
      <c r="O136" s="82">
        <f t="shared" si="13"/>
        <v>0</v>
      </c>
    </row>
    <row r="137" spans="3:15" x14ac:dyDescent="0.35">
      <c r="C137" s="82">
        <v>7</v>
      </c>
      <c r="D137" s="36">
        <v>0.25</v>
      </c>
      <c r="E137" s="6">
        <v>100</v>
      </c>
      <c r="F137" s="6">
        <v>100</v>
      </c>
      <c r="G137" s="6">
        <v>104</v>
      </c>
      <c r="H137" s="6">
        <v>31</v>
      </c>
      <c r="J137" s="36">
        <f t="shared" si="10"/>
        <v>0</v>
      </c>
      <c r="K137" s="6">
        <f t="shared" si="18"/>
        <v>4</v>
      </c>
      <c r="L137" s="6">
        <f t="shared" si="19"/>
        <v>24</v>
      </c>
      <c r="M137" s="36">
        <f t="shared" si="11"/>
        <v>0.04</v>
      </c>
      <c r="N137" s="82">
        <f t="shared" si="12"/>
        <v>0</v>
      </c>
      <c r="O137" s="82">
        <f t="shared" si="13"/>
        <v>0</v>
      </c>
    </row>
    <row r="138" spans="3:15" x14ac:dyDescent="0.35">
      <c r="C138" s="82">
        <v>7</v>
      </c>
      <c r="D138" s="36">
        <v>0.25</v>
      </c>
      <c r="E138" s="6">
        <v>100</v>
      </c>
      <c r="F138" s="6">
        <v>100</v>
      </c>
      <c r="G138" s="6">
        <v>105</v>
      </c>
      <c r="H138" s="6">
        <v>38</v>
      </c>
      <c r="J138" s="36">
        <f t="shared" si="10"/>
        <v>0</v>
      </c>
      <c r="K138" s="6">
        <f t="shared" si="18"/>
        <v>5</v>
      </c>
      <c r="L138" s="6">
        <f t="shared" si="19"/>
        <v>31</v>
      </c>
      <c r="M138" s="36">
        <f t="shared" si="11"/>
        <v>0.05</v>
      </c>
      <c r="N138" s="82">
        <f t="shared" si="12"/>
        <v>0</v>
      </c>
      <c r="O138" s="82">
        <f t="shared" si="13"/>
        <v>0</v>
      </c>
    </row>
    <row r="139" spans="3:15" x14ac:dyDescent="0.35">
      <c r="C139" s="82">
        <v>7</v>
      </c>
      <c r="D139" s="36">
        <v>0.25</v>
      </c>
      <c r="E139" s="6">
        <v>100</v>
      </c>
      <c r="F139" s="6">
        <v>100</v>
      </c>
      <c r="G139" s="6">
        <v>106</v>
      </c>
      <c r="H139" s="6">
        <v>45.3</v>
      </c>
      <c r="J139" s="36">
        <f t="shared" si="10"/>
        <v>0</v>
      </c>
      <c r="K139" s="6">
        <f t="shared" si="18"/>
        <v>6</v>
      </c>
      <c r="L139" s="6">
        <f t="shared" si="19"/>
        <v>38.299999999999997</v>
      </c>
      <c r="M139" s="36">
        <f t="shared" si="11"/>
        <v>0.06</v>
      </c>
      <c r="N139" s="82">
        <f t="shared" si="12"/>
        <v>0</v>
      </c>
      <c r="O139" s="82">
        <f t="shared" si="13"/>
        <v>0</v>
      </c>
    </row>
    <row r="140" spans="3:15" x14ac:dyDescent="0.35">
      <c r="C140" s="82">
        <v>7</v>
      </c>
      <c r="D140" s="36">
        <v>0.25</v>
      </c>
      <c r="E140" s="6">
        <v>100</v>
      </c>
      <c r="F140" s="6">
        <v>100</v>
      </c>
      <c r="G140" s="6">
        <v>107</v>
      </c>
      <c r="H140" s="6">
        <v>53</v>
      </c>
      <c r="J140" s="36">
        <f t="shared" si="10"/>
        <v>0</v>
      </c>
      <c r="K140" s="6">
        <f t="shared" si="18"/>
        <v>7</v>
      </c>
      <c r="L140" s="6">
        <f t="shared" si="19"/>
        <v>46</v>
      </c>
      <c r="M140" s="36">
        <f t="shared" si="11"/>
        <v>7.0000000000000007E-2</v>
      </c>
      <c r="N140" s="82">
        <f t="shared" si="12"/>
        <v>0</v>
      </c>
      <c r="O140" s="82">
        <f t="shared" si="13"/>
        <v>0</v>
      </c>
    </row>
    <row r="141" spans="3:15" x14ac:dyDescent="0.35">
      <c r="C141" s="82">
        <v>7</v>
      </c>
      <c r="D141" s="36">
        <v>0.25</v>
      </c>
      <c r="E141" s="6">
        <v>100</v>
      </c>
      <c r="F141" s="6">
        <v>100</v>
      </c>
      <c r="G141" s="6">
        <v>108</v>
      </c>
      <c r="H141" s="6">
        <v>60.9</v>
      </c>
      <c r="J141" s="36">
        <f t="shared" si="10"/>
        <v>0</v>
      </c>
      <c r="K141" s="6">
        <f t="shared" si="18"/>
        <v>8</v>
      </c>
      <c r="L141" s="6">
        <f t="shared" si="19"/>
        <v>53.9</v>
      </c>
      <c r="M141" s="36">
        <f t="shared" si="11"/>
        <v>0.08</v>
      </c>
      <c r="N141" s="82">
        <f t="shared" si="12"/>
        <v>0</v>
      </c>
      <c r="O141" s="82">
        <f t="shared" si="13"/>
        <v>0</v>
      </c>
    </row>
    <row r="142" spans="3:15" x14ac:dyDescent="0.35">
      <c r="C142" s="82">
        <v>7</v>
      </c>
      <c r="D142" s="36">
        <v>0.25</v>
      </c>
      <c r="E142" s="6">
        <v>100</v>
      </c>
      <c r="F142" s="6">
        <v>100</v>
      </c>
      <c r="G142" s="6">
        <v>109</v>
      </c>
      <c r="H142" s="6">
        <v>69.099999999999994</v>
      </c>
      <c r="J142" s="36">
        <f t="shared" si="10"/>
        <v>0</v>
      </c>
      <c r="K142" s="6">
        <f t="shared" si="18"/>
        <v>9</v>
      </c>
      <c r="L142" s="6">
        <f t="shared" si="19"/>
        <v>62.099999999999994</v>
      </c>
      <c r="M142" s="36">
        <f t="shared" si="11"/>
        <v>0.09</v>
      </c>
      <c r="N142" s="82">
        <f t="shared" si="12"/>
        <v>0</v>
      </c>
      <c r="O142" s="82">
        <f t="shared" si="13"/>
        <v>0</v>
      </c>
    </row>
    <row r="143" spans="3:15" x14ac:dyDescent="0.35">
      <c r="C143" s="82">
        <v>7</v>
      </c>
      <c r="D143" s="36">
        <v>0.25</v>
      </c>
      <c r="E143" s="6">
        <v>100</v>
      </c>
      <c r="F143" s="6">
        <v>100</v>
      </c>
      <c r="G143" s="6">
        <v>110</v>
      </c>
      <c r="H143" s="6">
        <v>77.5</v>
      </c>
      <c r="J143" s="36">
        <f t="shared" si="10"/>
        <v>0</v>
      </c>
      <c r="K143" s="6">
        <f t="shared" si="18"/>
        <v>10</v>
      </c>
      <c r="L143" s="6">
        <f t="shared" si="19"/>
        <v>70.5</v>
      </c>
      <c r="M143" s="36">
        <f t="shared" si="11"/>
        <v>0.1</v>
      </c>
      <c r="N143" s="82">
        <f t="shared" si="12"/>
        <v>0</v>
      </c>
      <c r="O143" s="82">
        <f t="shared" si="13"/>
        <v>0</v>
      </c>
    </row>
    <row r="144" spans="3:15" x14ac:dyDescent="0.35">
      <c r="C144" s="82">
        <v>7</v>
      </c>
      <c r="D144" s="36">
        <v>0.25</v>
      </c>
      <c r="E144" s="6">
        <v>100</v>
      </c>
      <c r="F144" s="6">
        <v>100</v>
      </c>
      <c r="G144" s="6">
        <v>115</v>
      </c>
      <c r="H144" s="6">
        <v>122.6</v>
      </c>
      <c r="J144" s="36">
        <f t="shared" si="10"/>
        <v>0</v>
      </c>
      <c r="K144" s="6">
        <f t="shared" si="18"/>
        <v>15</v>
      </c>
      <c r="L144" s="6">
        <f t="shared" si="19"/>
        <v>115.6</v>
      </c>
      <c r="M144" s="36">
        <f t="shared" si="11"/>
        <v>0.15</v>
      </c>
      <c r="N144" s="82">
        <f t="shared" si="12"/>
        <v>0</v>
      </c>
      <c r="O144" s="82">
        <f t="shared" si="13"/>
        <v>0</v>
      </c>
    </row>
    <row r="145" spans="3:15" x14ac:dyDescent="0.35">
      <c r="C145" s="82">
        <v>7</v>
      </c>
      <c r="D145" s="36">
        <v>0.25</v>
      </c>
      <c r="E145" s="6">
        <v>100</v>
      </c>
      <c r="F145" s="6">
        <v>100</v>
      </c>
      <c r="G145" s="6">
        <v>120</v>
      </c>
      <c r="H145" s="6">
        <v>171.7</v>
      </c>
      <c r="J145" s="36">
        <f t="shared" si="10"/>
        <v>0</v>
      </c>
      <c r="K145" s="6">
        <f t="shared" si="18"/>
        <v>20</v>
      </c>
      <c r="L145" s="6">
        <f t="shared" si="19"/>
        <v>164.7</v>
      </c>
      <c r="M145" s="36">
        <f t="shared" si="11"/>
        <v>0.2</v>
      </c>
      <c r="N145" s="82">
        <f t="shared" si="12"/>
        <v>0</v>
      </c>
      <c r="O145" s="82">
        <f t="shared" si="13"/>
        <v>0</v>
      </c>
    </row>
    <row r="146" spans="3:15" x14ac:dyDescent="0.35">
      <c r="C146" s="82">
        <v>7</v>
      </c>
      <c r="D146" s="36">
        <v>0.25</v>
      </c>
      <c r="E146" s="6">
        <v>100</v>
      </c>
      <c r="F146" s="6">
        <v>100</v>
      </c>
      <c r="G146" s="6">
        <v>125</v>
      </c>
      <c r="H146" s="6">
        <v>223.7</v>
      </c>
      <c r="J146" s="36">
        <f t="shared" ref="J146:J209" si="20">(F146-E146)/E146</f>
        <v>0</v>
      </c>
      <c r="K146" s="6">
        <f t="shared" si="18"/>
        <v>25</v>
      </c>
      <c r="L146" s="6">
        <f t="shared" si="19"/>
        <v>216.7</v>
      </c>
      <c r="M146" s="36">
        <f t="shared" ref="M146:M209" si="21">K146/E146</f>
        <v>0.25</v>
      </c>
      <c r="N146" s="82">
        <f t="shared" ref="N146:N209" si="22">IF(M146=J146,1,0)</f>
        <v>0</v>
      </c>
      <c r="O146" s="82">
        <f t="shared" ref="O146:O209" si="23">IF(J146=0,0,IF(M146/J146=2,1,0))</f>
        <v>0</v>
      </c>
    </row>
    <row r="147" spans="3:15" x14ac:dyDescent="0.35">
      <c r="C147" s="82">
        <v>7</v>
      </c>
      <c r="D147" s="36">
        <v>0.25</v>
      </c>
      <c r="E147" s="6">
        <v>100</v>
      </c>
      <c r="F147" s="6">
        <v>101</v>
      </c>
      <c r="G147" s="6">
        <v>101</v>
      </c>
      <c r="H147" s="6">
        <v>13.7</v>
      </c>
      <c r="J147" s="36">
        <f t="shared" si="20"/>
        <v>0.01</v>
      </c>
      <c r="K147" s="6">
        <f t="shared" si="18"/>
        <v>1</v>
      </c>
      <c r="L147" s="6">
        <f t="shared" si="19"/>
        <v>6.6999999999999993</v>
      </c>
      <c r="M147" s="36">
        <f t="shared" si="21"/>
        <v>0.01</v>
      </c>
      <c r="N147" s="82">
        <f t="shared" si="22"/>
        <v>1</v>
      </c>
      <c r="O147" s="82">
        <f t="shared" si="23"/>
        <v>0</v>
      </c>
    </row>
    <row r="148" spans="3:15" x14ac:dyDescent="0.35">
      <c r="C148" s="82">
        <v>7</v>
      </c>
      <c r="D148" s="36">
        <v>0.25</v>
      </c>
      <c r="E148" s="6">
        <v>100</v>
      </c>
      <c r="F148" s="6">
        <v>101</v>
      </c>
      <c r="G148" s="6">
        <v>102</v>
      </c>
      <c r="H148" s="6">
        <v>20.8</v>
      </c>
      <c r="J148" s="36">
        <f t="shared" si="20"/>
        <v>0.01</v>
      </c>
      <c r="K148" s="6">
        <f t="shared" si="18"/>
        <v>2</v>
      </c>
      <c r="L148" s="6">
        <f t="shared" si="19"/>
        <v>13.8</v>
      </c>
      <c r="M148" s="36">
        <f t="shared" si="21"/>
        <v>0.02</v>
      </c>
      <c r="N148" s="82">
        <f t="shared" si="22"/>
        <v>0</v>
      </c>
      <c r="O148" s="82">
        <f t="shared" si="23"/>
        <v>1</v>
      </c>
    </row>
    <row r="149" spans="3:15" x14ac:dyDescent="0.35">
      <c r="C149" s="82">
        <v>7</v>
      </c>
      <c r="D149" s="36">
        <v>0.25</v>
      </c>
      <c r="E149" s="6">
        <v>100</v>
      </c>
      <c r="F149" s="6">
        <v>101</v>
      </c>
      <c r="G149" s="6">
        <v>103</v>
      </c>
      <c r="H149" s="6">
        <v>28.4</v>
      </c>
      <c r="J149" s="36">
        <f t="shared" si="20"/>
        <v>0.01</v>
      </c>
      <c r="K149" s="6">
        <f t="shared" si="18"/>
        <v>3</v>
      </c>
      <c r="L149" s="6">
        <f t="shared" si="19"/>
        <v>21.4</v>
      </c>
      <c r="M149" s="36">
        <f t="shared" si="21"/>
        <v>0.03</v>
      </c>
      <c r="N149" s="82">
        <f t="shared" si="22"/>
        <v>0</v>
      </c>
      <c r="O149" s="82">
        <f t="shared" si="23"/>
        <v>0</v>
      </c>
    </row>
    <row r="150" spans="3:15" x14ac:dyDescent="0.35">
      <c r="C150" s="82">
        <v>7</v>
      </c>
      <c r="D150" s="36">
        <v>0.25</v>
      </c>
      <c r="E150" s="6">
        <v>100</v>
      </c>
      <c r="F150" s="6">
        <v>101</v>
      </c>
      <c r="G150" s="6">
        <v>104</v>
      </c>
      <c r="H150" s="6">
        <v>36.4</v>
      </c>
      <c r="J150" s="36">
        <f t="shared" si="20"/>
        <v>0.01</v>
      </c>
      <c r="K150" s="6">
        <f t="shared" si="18"/>
        <v>4</v>
      </c>
      <c r="L150" s="6">
        <f t="shared" si="19"/>
        <v>29.4</v>
      </c>
      <c r="M150" s="36">
        <f t="shared" si="21"/>
        <v>0.04</v>
      </c>
      <c r="N150" s="82">
        <f t="shared" si="22"/>
        <v>0</v>
      </c>
      <c r="O150" s="82">
        <f t="shared" si="23"/>
        <v>0</v>
      </c>
    </row>
    <row r="151" spans="3:15" x14ac:dyDescent="0.35">
      <c r="C151" s="82">
        <v>7</v>
      </c>
      <c r="D151" s="36">
        <v>0.25</v>
      </c>
      <c r="E151" s="6">
        <v>100</v>
      </c>
      <c r="F151" s="6">
        <v>101</v>
      </c>
      <c r="G151" s="6">
        <v>105</v>
      </c>
      <c r="H151" s="6">
        <v>44.8</v>
      </c>
      <c r="J151" s="36">
        <f t="shared" si="20"/>
        <v>0.01</v>
      </c>
      <c r="K151" s="6">
        <f t="shared" si="18"/>
        <v>5</v>
      </c>
      <c r="L151" s="6">
        <f t="shared" si="19"/>
        <v>37.799999999999997</v>
      </c>
      <c r="M151" s="36">
        <f t="shared" si="21"/>
        <v>0.05</v>
      </c>
      <c r="N151" s="82">
        <f t="shared" si="22"/>
        <v>0</v>
      </c>
      <c r="O151" s="82">
        <f t="shared" si="23"/>
        <v>0</v>
      </c>
    </row>
    <row r="152" spans="3:15" x14ac:dyDescent="0.35">
      <c r="C152" s="82">
        <v>7</v>
      </c>
      <c r="D152" s="36">
        <v>0.25</v>
      </c>
      <c r="E152" s="6">
        <v>100</v>
      </c>
      <c r="F152" s="6">
        <v>101</v>
      </c>
      <c r="G152" s="6">
        <v>106</v>
      </c>
      <c r="H152" s="6">
        <v>53.6</v>
      </c>
      <c r="J152" s="36">
        <f t="shared" si="20"/>
        <v>0.01</v>
      </c>
      <c r="K152" s="6">
        <f t="shared" si="18"/>
        <v>6</v>
      </c>
      <c r="L152" s="6">
        <f t="shared" si="19"/>
        <v>46.6</v>
      </c>
      <c r="M152" s="36">
        <f t="shared" si="21"/>
        <v>0.06</v>
      </c>
      <c r="N152" s="82">
        <f t="shared" si="22"/>
        <v>0</v>
      </c>
      <c r="O152" s="82">
        <f t="shared" si="23"/>
        <v>0</v>
      </c>
    </row>
    <row r="153" spans="3:15" x14ac:dyDescent="0.35">
      <c r="C153" s="82">
        <v>7</v>
      </c>
      <c r="D153" s="36">
        <v>0.25</v>
      </c>
      <c r="E153" s="6">
        <v>100</v>
      </c>
      <c r="F153" s="6">
        <v>101</v>
      </c>
      <c r="G153" s="6">
        <v>107</v>
      </c>
      <c r="H153" s="6">
        <v>62.7</v>
      </c>
      <c r="J153" s="36">
        <f t="shared" si="20"/>
        <v>0.01</v>
      </c>
      <c r="K153" s="6">
        <f t="shared" si="18"/>
        <v>7</v>
      </c>
      <c r="L153" s="6">
        <f t="shared" si="19"/>
        <v>55.7</v>
      </c>
      <c r="M153" s="36">
        <f t="shared" si="21"/>
        <v>7.0000000000000007E-2</v>
      </c>
      <c r="N153" s="82">
        <f t="shared" si="22"/>
        <v>0</v>
      </c>
      <c r="O153" s="82">
        <f t="shared" si="23"/>
        <v>0</v>
      </c>
    </row>
    <row r="154" spans="3:15" x14ac:dyDescent="0.35">
      <c r="C154" s="82">
        <v>7</v>
      </c>
      <c r="D154" s="36">
        <v>0.25</v>
      </c>
      <c r="E154" s="6">
        <v>100</v>
      </c>
      <c r="F154" s="6">
        <v>101</v>
      </c>
      <c r="G154" s="6">
        <v>108</v>
      </c>
      <c r="H154" s="6">
        <v>72.099999999999994</v>
      </c>
      <c r="J154" s="36">
        <f t="shared" si="20"/>
        <v>0.01</v>
      </c>
      <c r="K154" s="6">
        <f t="shared" si="18"/>
        <v>8</v>
      </c>
      <c r="L154" s="6">
        <f t="shared" si="19"/>
        <v>65.099999999999994</v>
      </c>
      <c r="M154" s="36">
        <f t="shared" si="21"/>
        <v>0.08</v>
      </c>
      <c r="N154" s="82">
        <f t="shared" si="22"/>
        <v>0</v>
      </c>
      <c r="O154" s="82">
        <f t="shared" si="23"/>
        <v>0</v>
      </c>
    </row>
    <row r="155" spans="3:15" x14ac:dyDescent="0.35">
      <c r="C155" s="82">
        <v>7</v>
      </c>
      <c r="D155" s="36">
        <v>0.25</v>
      </c>
      <c r="E155" s="6">
        <v>100</v>
      </c>
      <c r="F155" s="6">
        <v>101</v>
      </c>
      <c r="G155" s="6">
        <v>109</v>
      </c>
      <c r="H155" s="6">
        <v>81.8</v>
      </c>
      <c r="J155" s="36">
        <f t="shared" si="20"/>
        <v>0.01</v>
      </c>
      <c r="K155" s="6">
        <f t="shared" si="18"/>
        <v>9</v>
      </c>
      <c r="L155" s="6">
        <f t="shared" si="19"/>
        <v>74.8</v>
      </c>
      <c r="M155" s="36">
        <f t="shared" si="21"/>
        <v>0.09</v>
      </c>
      <c r="N155" s="82">
        <f t="shared" si="22"/>
        <v>0</v>
      </c>
      <c r="O155" s="82">
        <f t="shared" si="23"/>
        <v>0</v>
      </c>
    </row>
    <row r="156" spans="3:15" x14ac:dyDescent="0.35">
      <c r="C156" s="82">
        <v>7</v>
      </c>
      <c r="D156" s="36">
        <v>0.25</v>
      </c>
      <c r="E156" s="6">
        <v>100</v>
      </c>
      <c r="F156" s="6">
        <v>101</v>
      </c>
      <c r="G156" s="6">
        <v>110</v>
      </c>
      <c r="H156" s="6">
        <v>91.7</v>
      </c>
      <c r="J156" s="36">
        <f t="shared" si="20"/>
        <v>0.01</v>
      </c>
      <c r="K156" s="6">
        <f t="shared" si="18"/>
        <v>10</v>
      </c>
      <c r="L156" s="6">
        <f t="shared" si="19"/>
        <v>84.7</v>
      </c>
      <c r="M156" s="36">
        <f t="shared" si="21"/>
        <v>0.1</v>
      </c>
      <c r="N156" s="82">
        <f t="shared" si="22"/>
        <v>0</v>
      </c>
      <c r="O156" s="82">
        <f t="shared" si="23"/>
        <v>0</v>
      </c>
    </row>
    <row r="157" spans="3:15" x14ac:dyDescent="0.35">
      <c r="C157" s="82">
        <v>7</v>
      </c>
      <c r="D157" s="36">
        <v>0.25</v>
      </c>
      <c r="E157" s="6">
        <v>100</v>
      </c>
      <c r="F157" s="6">
        <v>101</v>
      </c>
      <c r="G157" s="6">
        <v>115</v>
      </c>
      <c r="H157" s="6">
        <v>144.5</v>
      </c>
      <c r="J157" s="36">
        <f t="shared" si="20"/>
        <v>0.01</v>
      </c>
      <c r="K157" s="6">
        <f t="shared" si="18"/>
        <v>15</v>
      </c>
      <c r="L157" s="6">
        <f t="shared" si="19"/>
        <v>137.5</v>
      </c>
      <c r="M157" s="36">
        <f t="shared" si="21"/>
        <v>0.15</v>
      </c>
      <c r="N157" s="82">
        <f t="shared" si="22"/>
        <v>0</v>
      </c>
      <c r="O157" s="82">
        <f t="shared" si="23"/>
        <v>0</v>
      </c>
    </row>
    <row r="158" spans="3:15" x14ac:dyDescent="0.35">
      <c r="C158" s="82">
        <v>7</v>
      </c>
      <c r="D158" s="36">
        <v>0.25</v>
      </c>
      <c r="E158" s="6">
        <v>100</v>
      </c>
      <c r="F158" s="6">
        <v>101</v>
      </c>
      <c r="G158" s="6">
        <v>120</v>
      </c>
      <c r="H158" s="6">
        <v>201.5</v>
      </c>
      <c r="J158" s="36">
        <f t="shared" si="20"/>
        <v>0.01</v>
      </c>
      <c r="K158" s="6">
        <f t="shared" si="18"/>
        <v>20</v>
      </c>
      <c r="L158" s="6">
        <f t="shared" si="19"/>
        <v>194.5</v>
      </c>
      <c r="M158" s="36">
        <f t="shared" si="21"/>
        <v>0.2</v>
      </c>
      <c r="N158" s="82">
        <f t="shared" si="22"/>
        <v>0</v>
      </c>
      <c r="O158" s="82">
        <f t="shared" si="23"/>
        <v>0</v>
      </c>
    </row>
    <row r="159" spans="3:15" x14ac:dyDescent="0.35">
      <c r="C159" s="82">
        <v>7</v>
      </c>
      <c r="D159" s="36">
        <v>0.25</v>
      </c>
      <c r="E159" s="6">
        <v>100</v>
      </c>
      <c r="F159" s="6">
        <v>101</v>
      </c>
      <c r="G159" s="6">
        <v>125</v>
      </c>
      <c r="H159" s="6">
        <v>261.5</v>
      </c>
      <c r="J159" s="36">
        <f t="shared" si="20"/>
        <v>0.01</v>
      </c>
      <c r="K159" s="6">
        <f t="shared" si="18"/>
        <v>25</v>
      </c>
      <c r="L159" s="6">
        <f t="shared" si="19"/>
        <v>254.5</v>
      </c>
      <c r="M159" s="36">
        <f t="shared" si="21"/>
        <v>0.25</v>
      </c>
      <c r="N159" s="82">
        <f t="shared" si="22"/>
        <v>0</v>
      </c>
      <c r="O159" s="82">
        <f t="shared" si="23"/>
        <v>0</v>
      </c>
    </row>
    <row r="160" spans="3:15" x14ac:dyDescent="0.35">
      <c r="C160" s="82">
        <v>7</v>
      </c>
      <c r="D160" s="36">
        <v>0.25</v>
      </c>
      <c r="E160" s="6">
        <v>100</v>
      </c>
      <c r="F160" s="6">
        <v>102</v>
      </c>
      <c r="G160" s="6">
        <v>101</v>
      </c>
      <c r="H160" s="6">
        <v>15.4</v>
      </c>
      <c r="J160" s="36">
        <f t="shared" si="20"/>
        <v>0.02</v>
      </c>
      <c r="K160" s="6">
        <f t="shared" si="18"/>
        <v>1</v>
      </c>
      <c r="L160" s="6">
        <f t="shared" si="19"/>
        <v>8.4</v>
      </c>
      <c r="M160" s="36">
        <f t="shared" si="21"/>
        <v>0.01</v>
      </c>
      <c r="N160" s="82">
        <f t="shared" si="22"/>
        <v>0</v>
      </c>
      <c r="O160" s="82">
        <f t="shared" si="23"/>
        <v>0</v>
      </c>
    </row>
    <row r="161" spans="3:15" x14ac:dyDescent="0.35">
      <c r="C161" s="82">
        <v>7</v>
      </c>
      <c r="D161" s="36">
        <v>0.25</v>
      </c>
      <c r="E161" s="6">
        <v>100</v>
      </c>
      <c r="F161" s="6">
        <v>102</v>
      </c>
      <c r="G161" s="6">
        <v>102</v>
      </c>
      <c r="H161" s="6">
        <v>24.2</v>
      </c>
      <c r="J161" s="36">
        <f t="shared" si="20"/>
        <v>0.02</v>
      </c>
      <c r="K161" s="6">
        <f t="shared" si="18"/>
        <v>2</v>
      </c>
      <c r="L161" s="6">
        <f t="shared" si="19"/>
        <v>17.2</v>
      </c>
      <c r="M161" s="36">
        <f t="shared" si="21"/>
        <v>0.02</v>
      </c>
      <c r="N161" s="82">
        <f t="shared" si="22"/>
        <v>1</v>
      </c>
      <c r="O161" s="82">
        <f t="shared" si="23"/>
        <v>0</v>
      </c>
    </row>
    <row r="162" spans="3:15" x14ac:dyDescent="0.35">
      <c r="C162" s="82">
        <v>7</v>
      </c>
      <c r="D162" s="36">
        <v>0.25</v>
      </c>
      <c r="E162" s="6">
        <v>100</v>
      </c>
      <c r="F162" s="6">
        <v>102</v>
      </c>
      <c r="G162" s="6">
        <v>103</v>
      </c>
      <c r="H162" s="6">
        <v>33.4</v>
      </c>
      <c r="J162" s="36">
        <f t="shared" si="20"/>
        <v>0.02</v>
      </c>
      <c r="K162" s="6">
        <f t="shared" si="18"/>
        <v>3</v>
      </c>
      <c r="L162" s="6">
        <f t="shared" si="19"/>
        <v>26.4</v>
      </c>
      <c r="M162" s="36">
        <f t="shared" si="21"/>
        <v>0.03</v>
      </c>
      <c r="N162" s="82">
        <f t="shared" si="22"/>
        <v>0</v>
      </c>
      <c r="O162" s="82">
        <f t="shared" si="23"/>
        <v>0</v>
      </c>
    </row>
    <row r="163" spans="3:15" x14ac:dyDescent="0.35">
      <c r="C163" s="82">
        <v>7</v>
      </c>
      <c r="D163" s="36">
        <v>0.25</v>
      </c>
      <c r="E163" s="6">
        <v>100</v>
      </c>
      <c r="F163" s="6">
        <v>102</v>
      </c>
      <c r="G163" s="6">
        <v>104</v>
      </c>
      <c r="H163" s="6">
        <v>43.1</v>
      </c>
      <c r="J163" s="36">
        <f t="shared" si="20"/>
        <v>0.02</v>
      </c>
      <c r="K163" s="6">
        <f t="shared" si="18"/>
        <v>4</v>
      </c>
      <c r="L163" s="6">
        <f t="shared" si="19"/>
        <v>36.1</v>
      </c>
      <c r="M163" s="36">
        <f t="shared" si="21"/>
        <v>0.04</v>
      </c>
      <c r="N163" s="82">
        <f t="shared" si="22"/>
        <v>0</v>
      </c>
      <c r="O163" s="82">
        <f t="shared" si="23"/>
        <v>1</v>
      </c>
    </row>
    <row r="164" spans="3:15" x14ac:dyDescent="0.35">
      <c r="C164" s="82">
        <v>7</v>
      </c>
      <c r="D164" s="36">
        <v>0.25</v>
      </c>
      <c r="E164" s="6">
        <v>100</v>
      </c>
      <c r="F164" s="6">
        <v>102</v>
      </c>
      <c r="G164" s="6">
        <v>105</v>
      </c>
      <c r="H164" s="6">
        <v>53.2</v>
      </c>
      <c r="J164" s="36">
        <f t="shared" si="20"/>
        <v>0.02</v>
      </c>
      <c r="K164" s="6">
        <f t="shared" si="18"/>
        <v>5</v>
      </c>
      <c r="L164" s="6">
        <f t="shared" si="19"/>
        <v>46.2</v>
      </c>
      <c r="M164" s="36">
        <f t="shared" si="21"/>
        <v>0.05</v>
      </c>
      <c r="N164" s="82">
        <f t="shared" si="22"/>
        <v>0</v>
      </c>
      <c r="O164" s="82">
        <f t="shared" si="23"/>
        <v>0</v>
      </c>
    </row>
    <row r="165" spans="3:15" x14ac:dyDescent="0.35">
      <c r="C165" s="82">
        <v>7</v>
      </c>
      <c r="D165" s="36">
        <v>0.25</v>
      </c>
      <c r="E165" s="6">
        <v>100</v>
      </c>
      <c r="F165" s="6">
        <v>102</v>
      </c>
      <c r="G165" s="6">
        <v>106</v>
      </c>
      <c r="H165" s="6">
        <v>63.6</v>
      </c>
      <c r="J165" s="36">
        <f t="shared" si="20"/>
        <v>0.02</v>
      </c>
      <c r="K165" s="6">
        <f t="shared" si="18"/>
        <v>6</v>
      </c>
      <c r="L165" s="6">
        <f t="shared" si="19"/>
        <v>56.6</v>
      </c>
      <c r="M165" s="36">
        <f t="shared" si="21"/>
        <v>0.06</v>
      </c>
      <c r="N165" s="82">
        <f t="shared" si="22"/>
        <v>0</v>
      </c>
      <c r="O165" s="82">
        <f t="shared" si="23"/>
        <v>0</v>
      </c>
    </row>
    <row r="166" spans="3:15" x14ac:dyDescent="0.35">
      <c r="C166" s="82">
        <v>7</v>
      </c>
      <c r="D166" s="36">
        <v>0.25</v>
      </c>
      <c r="E166" s="6">
        <v>100</v>
      </c>
      <c r="F166" s="6">
        <v>102</v>
      </c>
      <c r="G166" s="6">
        <v>107</v>
      </c>
      <c r="H166" s="6">
        <v>74.400000000000006</v>
      </c>
      <c r="J166" s="36">
        <f t="shared" si="20"/>
        <v>0.02</v>
      </c>
      <c r="K166" s="6">
        <f t="shared" si="18"/>
        <v>7</v>
      </c>
      <c r="L166" s="6">
        <f t="shared" si="19"/>
        <v>67.400000000000006</v>
      </c>
      <c r="M166" s="36">
        <f t="shared" si="21"/>
        <v>7.0000000000000007E-2</v>
      </c>
      <c r="N166" s="82">
        <f t="shared" si="22"/>
        <v>0</v>
      </c>
      <c r="O166" s="82">
        <f t="shared" si="23"/>
        <v>0</v>
      </c>
    </row>
    <row r="167" spans="3:15" x14ac:dyDescent="0.35">
      <c r="C167" s="82">
        <v>7</v>
      </c>
      <c r="D167" s="36">
        <v>0.25</v>
      </c>
      <c r="E167" s="6">
        <v>100</v>
      </c>
      <c r="F167" s="6">
        <v>102</v>
      </c>
      <c r="G167" s="6">
        <v>108</v>
      </c>
      <c r="H167" s="6">
        <v>85.5</v>
      </c>
      <c r="J167" s="36">
        <f t="shared" si="20"/>
        <v>0.02</v>
      </c>
      <c r="K167" s="6">
        <f t="shared" si="18"/>
        <v>8</v>
      </c>
      <c r="L167" s="6">
        <f t="shared" si="19"/>
        <v>78.5</v>
      </c>
      <c r="M167" s="36">
        <f t="shared" si="21"/>
        <v>0.08</v>
      </c>
      <c r="N167" s="82">
        <f t="shared" si="22"/>
        <v>0</v>
      </c>
      <c r="O167" s="82">
        <f t="shared" si="23"/>
        <v>0</v>
      </c>
    </row>
    <row r="168" spans="3:15" x14ac:dyDescent="0.35">
      <c r="C168" s="82">
        <v>7</v>
      </c>
      <c r="D168" s="36">
        <v>0.25</v>
      </c>
      <c r="E168" s="6">
        <v>100</v>
      </c>
      <c r="F168" s="6">
        <v>102</v>
      </c>
      <c r="G168" s="6">
        <v>109</v>
      </c>
      <c r="H168" s="6">
        <v>96.8</v>
      </c>
      <c r="J168" s="36">
        <f t="shared" si="20"/>
        <v>0.02</v>
      </c>
      <c r="K168" s="6">
        <f t="shared" si="18"/>
        <v>9</v>
      </c>
      <c r="L168" s="6">
        <f t="shared" si="19"/>
        <v>89.8</v>
      </c>
      <c r="M168" s="36">
        <f t="shared" si="21"/>
        <v>0.09</v>
      </c>
      <c r="N168" s="82">
        <f t="shared" si="22"/>
        <v>0</v>
      </c>
      <c r="O168" s="82">
        <f t="shared" si="23"/>
        <v>0</v>
      </c>
    </row>
    <row r="169" spans="3:15" x14ac:dyDescent="0.35">
      <c r="C169" s="82">
        <v>7</v>
      </c>
      <c r="D169" s="36">
        <v>0.25</v>
      </c>
      <c r="E169" s="6">
        <v>100</v>
      </c>
      <c r="F169" s="6">
        <v>102</v>
      </c>
      <c r="G169" s="6">
        <v>110</v>
      </c>
      <c r="H169" s="6">
        <v>108.4</v>
      </c>
      <c r="J169" s="36">
        <f t="shared" si="20"/>
        <v>0.02</v>
      </c>
      <c r="K169" s="6">
        <f t="shared" si="18"/>
        <v>10</v>
      </c>
      <c r="L169" s="6">
        <f t="shared" si="19"/>
        <v>101.4</v>
      </c>
      <c r="M169" s="36">
        <f t="shared" si="21"/>
        <v>0.1</v>
      </c>
      <c r="N169" s="82">
        <f t="shared" si="22"/>
        <v>0</v>
      </c>
      <c r="O169" s="82">
        <f t="shared" si="23"/>
        <v>0</v>
      </c>
    </row>
    <row r="170" spans="3:15" x14ac:dyDescent="0.35">
      <c r="C170" s="82">
        <v>7</v>
      </c>
      <c r="D170" s="36">
        <v>0.25</v>
      </c>
      <c r="E170" s="6">
        <v>100</v>
      </c>
      <c r="F170" s="6">
        <v>102</v>
      </c>
      <c r="G170" s="6">
        <v>115</v>
      </c>
      <c r="H170" s="6">
        <v>169.8</v>
      </c>
      <c r="J170" s="36">
        <f t="shared" si="20"/>
        <v>0.02</v>
      </c>
      <c r="K170" s="6">
        <f t="shared" si="18"/>
        <v>15</v>
      </c>
      <c r="L170" s="6">
        <f t="shared" si="19"/>
        <v>162.80000000000001</v>
      </c>
      <c r="M170" s="36">
        <f t="shared" si="21"/>
        <v>0.15</v>
      </c>
      <c r="N170" s="82">
        <f t="shared" si="22"/>
        <v>0</v>
      </c>
      <c r="O170" s="82">
        <f t="shared" si="23"/>
        <v>0</v>
      </c>
    </row>
    <row r="171" spans="3:15" x14ac:dyDescent="0.35">
      <c r="C171" s="82">
        <v>7</v>
      </c>
      <c r="D171" s="36">
        <v>0.25</v>
      </c>
      <c r="E171" s="6">
        <v>100</v>
      </c>
      <c r="F171" s="6">
        <v>102</v>
      </c>
      <c r="G171" s="6">
        <v>120</v>
      </c>
      <c r="H171" s="6">
        <v>235.4</v>
      </c>
      <c r="J171" s="36">
        <f t="shared" si="20"/>
        <v>0.02</v>
      </c>
      <c r="K171" s="6">
        <f t="shared" si="18"/>
        <v>20</v>
      </c>
      <c r="L171" s="6">
        <f t="shared" si="19"/>
        <v>228.4</v>
      </c>
      <c r="M171" s="36">
        <f t="shared" si="21"/>
        <v>0.2</v>
      </c>
      <c r="N171" s="82">
        <f t="shared" si="22"/>
        <v>0</v>
      </c>
      <c r="O171" s="82">
        <f t="shared" si="23"/>
        <v>0</v>
      </c>
    </row>
    <row r="172" spans="3:15" x14ac:dyDescent="0.35">
      <c r="C172" s="82">
        <v>7</v>
      </c>
      <c r="D172" s="36">
        <v>0.25</v>
      </c>
      <c r="E172" s="6">
        <v>100</v>
      </c>
      <c r="F172" s="6">
        <v>102</v>
      </c>
      <c r="G172" s="6">
        <v>125</v>
      </c>
      <c r="H172" s="6">
        <v>303.89999999999998</v>
      </c>
      <c r="J172" s="36">
        <f t="shared" si="20"/>
        <v>0.02</v>
      </c>
      <c r="K172" s="6">
        <f t="shared" si="18"/>
        <v>25</v>
      </c>
      <c r="L172" s="6">
        <f t="shared" si="19"/>
        <v>296.89999999999998</v>
      </c>
      <c r="M172" s="36">
        <f t="shared" si="21"/>
        <v>0.25</v>
      </c>
      <c r="N172" s="82">
        <f t="shared" si="22"/>
        <v>0</v>
      </c>
      <c r="O172" s="82">
        <f t="shared" si="23"/>
        <v>0</v>
      </c>
    </row>
    <row r="173" spans="3:15" x14ac:dyDescent="0.35">
      <c r="C173" s="82">
        <v>7</v>
      </c>
      <c r="D173" s="36">
        <v>0.25</v>
      </c>
      <c r="E173" s="6">
        <v>100</v>
      </c>
      <c r="F173" s="6">
        <v>103</v>
      </c>
      <c r="G173" s="6">
        <v>101</v>
      </c>
      <c r="H173" s="6">
        <v>17.8</v>
      </c>
      <c r="J173" s="36">
        <f t="shared" si="20"/>
        <v>0.03</v>
      </c>
      <c r="K173" s="6">
        <f t="shared" si="18"/>
        <v>1</v>
      </c>
      <c r="L173" s="6">
        <f t="shared" si="19"/>
        <v>10.8</v>
      </c>
      <c r="M173" s="36">
        <f t="shared" si="21"/>
        <v>0.01</v>
      </c>
      <c r="N173" s="82">
        <f t="shared" si="22"/>
        <v>0</v>
      </c>
      <c r="O173" s="82">
        <f t="shared" si="23"/>
        <v>0</v>
      </c>
    </row>
    <row r="174" spans="3:15" x14ac:dyDescent="0.35">
      <c r="C174" s="82">
        <v>7</v>
      </c>
      <c r="D174" s="36">
        <v>0.25</v>
      </c>
      <c r="E174" s="6">
        <v>100</v>
      </c>
      <c r="F174" s="6">
        <v>103</v>
      </c>
      <c r="G174" s="6">
        <v>102</v>
      </c>
      <c r="H174" s="6">
        <v>28.5</v>
      </c>
      <c r="J174" s="36">
        <f t="shared" si="20"/>
        <v>0.03</v>
      </c>
      <c r="K174" s="6">
        <f t="shared" si="18"/>
        <v>2</v>
      </c>
      <c r="L174" s="6">
        <f t="shared" si="19"/>
        <v>21.5</v>
      </c>
      <c r="M174" s="36">
        <f t="shared" si="21"/>
        <v>0.02</v>
      </c>
      <c r="N174" s="82">
        <f t="shared" si="22"/>
        <v>0</v>
      </c>
      <c r="O174" s="82">
        <f t="shared" si="23"/>
        <v>0</v>
      </c>
    </row>
    <row r="175" spans="3:15" x14ac:dyDescent="0.35">
      <c r="C175" s="82">
        <v>7</v>
      </c>
      <c r="D175" s="36">
        <v>0.25</v>
      </c>
      <c r="E175" s="6">
        <v>100</v>
      </c>
      <c r="F175" s="6">
        <v>103</v>
      </c>
      <c r="G175" s="6">
        <v>103</v>
      </c>
      <c r="H175" s="6">
        <v>39.700000000000003</v>
      </c>
      <c r="J175" s="36">
        <f t="shared" si="20"/>
        <v>0.03</v>
      </c>
      <c r="K175" s="6">
        <f t="shared" si="18"/>
        <v>3</v>
      </c>
      <c r="L175" s="6">
        <f t="shared" si="19"/>
        <v>32.700000000000003</v>
      </c>
      <c r="M175" s="36">
        <f t="shared" si="21"/>
        <v>0.03</v>
      </c>
      <c r="N175" s="82">
        <f t="shared" si="22"/>
        <v>1</v>
      </c>
      <c r="O175" s="82">
        <f t="shared" si="23"/>
        <v>0</v>
      </c>
    </row>
    <row r="176" spans="3:15" x14ac:dyDescent="0.35">
      <c r="C176" s="82">
        <v>7</v>
      </c>
      <c r="D176" s="36">
        <v>0.25</v>
      </c>
      <c r="E176" s="6">
        <v>100</v>
      </c>
      <c r="F176" s="6">
        <v>103</v>
      </c>
      <c r="G176" s="6">
        <v>104</v>
      </c>
      <c r="H176" s="6">
        <v>51.2</v>
      </c>
      <c r="J176" s="36">
        <f t="shared" si="20"/>
        <v>0.03</v>
      </c>
      <c r="K176" s="6">
        <f t="shared" si="18"/>
        <v>4</v>
      </c>
      <c r="L176" s="6">
        <f t="shared" si="19"/>
        <v>44.2</v>
      </c>
      <c r="M176" s="36">
        <f t="shared" si="21"/>
        <v>0.04</v>
      </c>
      <c r="N176" s="82">
        <f t="shared" si="22"/>
        <v>0</v>
      </c>
      <c r="O176" s="82">
        <f t="shared" si="23"/>
        <v>0</v>
      </c>
    </row>
    <row r="177" spans="3:15" x14ac:dyDescent="0.35">
      <c r="C177" s="82">
        <v>7</v>
      </c>
      <c r="D177" s="36">
        <v>0.25</v>
      </c>
      <c r="E177" s="6">
        <v>100</v>
      </c>
      <c r="F177" s="6">
        <v>103</v>
      </c>
      <c r="G177" s="6">
        <v>105</v>
      </c>
      <c r="H177" s="6">
        <v>63.1</v>
      </c>
      <c r="J177" s="36">
        <f t="shared" si="20"/>
        <v>0.03</v>
      </c>
      <c r="K177" s="6">
        <f t="shared" si="18"/>
        <v>5</v>
      </c>
      <c r="L177" s="6">
        <f t="shared" si="19"/>
        <v>56.1</v>
      </c>
      <c r="M177" s="36">
        <f t="shared" si="21"/>
        <v>0.05</v>
      </c>
      <c r="N177" s="82">
        <f t="shared" si="22"/>
        <v>0</v>
      </c>
      <c r="O177" s="82">
        <f t="shared" si="23"/>
        <v>0</v>
      </c>
    </row>
    <row r="178" spans="3:15" x14ac:dyDescent="0.35">
      <c r="C178" s="82">
        <v>7</v>
      </c>
      <c r="D178" s="36">
        <v>0.25</v>
      </c>
      <c r="E178" s="6">
        <v>100</v>
      </c>
      <c r="F178" s="6">
        <v>103</v>
      </c>
      <c r="G178" s="6">
        <v>106</v>
      </c>
      <c r="H178" s="6">
        <v>75.400000000000006</v>
      </c>
      <c r="J178" s="36">
        <f t="shared" si="20"/>
        <v>0.03</v>
      </c>
      <c r="K178" s="6">
        <f t="shared" si="18"/>
        <v>6</v>
      </c>
      <c r="L178" s="6">
        <f t="shared" si="19"/>
        <v>68.400000000000006</v>
      </c>
      <c r="M178" s="36">
        <f t="shared" si="21"/>
        <v>0.06</v>
      </c>
      <c r="N178" s="82">
        <f t="shared" si="22"/>
        <v>0</v>
      </c>
      <c r="O178" s="82">
        <f t="shared" si="23"/>
        <v>1</v>
      </c>
    </row>
    <row r="179" spans="3:15" x14ac:dyDescent="0.35">
      <c r="C179" s="82">
        <v>7</v>
      </c>
      <c r="D179" s="36">
        <v>0.25</v>
      </c>
      <c r="E179" s="6">
        <v>100</v>
      </c>
      <c r="F179" s="6">
        <v>103</v>
      </c>
      <c r="G179" s="6">
        <v>107</v>
      </c>
      <c r="H179" s="6">
        <v>88</v>
      </c>
      <c r="J179" s="36">
        <f t="shared" si="20"/>
        <v>0.03</v>
      </c>
      <c r="K179" s="6">
        <f t="shared" si="18"/>
        <v>7</v>
      </c>
      <c r="L179" s="6">
        <f t="shared" si="19"/>
        <v>81</v>
      </c>
      <c r="M179" s="36">
        <f t="shared" si="21"/>
        <v>7.0000000000000007E-2</v>
      </c>
      <c r="N179" s="82">
        <f t="shared" si="22"/>
        <v>0</v>
      </c>
      <c r="O179" s="82">
        <f t="shared" si="23"/>
        <v>0</v>
      </c>
    </row>
    <row r="180" spans="3:15" x14ac:dyDescent="0.35">
      <c r="C180" s="82">
        <v>7</v>
      </c>
      <c r="D180" s="36">
        <v>0.25</v>
      </c>
      <c r="E180" s="6">
        <v>100</v>
      </c>
      <c r="F180" s="6">
        <v>103</v>
      </c>
      <c r="G180" s="6">
        <v>108</v>
      </c>
      <c r="H180" s="6">
        <v>101</v>
      </c>
      <c r="J180" s="36">
        <f t="shared" si="20"/>
        <v>0.03</v>
      </c>
      <c r="K180" s="6">
        <f t="shared" si="18"/>
        <v>8</v>
      </c>
      <c r="L180" s="6">
        <f t="shared" si="19"/>
        <v>94</v>
      </c>
      <c r="M180" s="36">
        <f t="shared" si="21"/>
        <v>0.08</v>
      </c>
      <c r="N180" s="82">
        <f t="shared" si="22"/>
        <v>0</v>
      </c>
      <c r="O180" s="82">
        <f t="shared" si="23"/>
        <v>0</v>
      </c>
    </row>
    <row r="181" spans="3:15" x14ac:dyDescent="0.35">
      <c r="C181" s="82">
        <v>7</v>
      </c>
      <c r="D181" s="36">
        <v>0.25</v>
      </c>
      <c r="E181" s="6">
        <v>100</v>
      </c>
      <c r="F181" s="6">
        <v>103</v>
      </c>
      <c r="G181" s="6">
        <v>109</v>
      </c>
      <c r="H181" s="6">
        <v>114.2</v>
      </c>
      <c r="J181" s="36">
        <f t="shared" si="20"/>
        <v>0.03</v>
      </c>
      <c r="K181" s="6">
        <f t="shared" si="18"/>
        <v>9</v>
      </c>
      <c r="L181" s="6">
        <f t="shared" si="19"/>
        <v>107.2</v>
      </c>
      <c r="M181" s="36">
        <f t="shared" si="21"/>
        <v>0.09</v>
      </c>
      <c r="N181" s="82">
        <f t="shared" si="22"/>
        <v>0</v>
      </c>
      <c r="O181" s="82">
        <f t="shared" si="23"/>
        <v>0</v>
      </c>
    </row>
    <row r="182" spans="3:15" x14ac:dyDescent="0.35">
      <c r="C182" s="82">
        <v>7</v>
      </c>
      <c r="D182" s="36">
        <v>0.25</v>
      </c>
      <c r="E182" s="6">
        <v>100</v>
      </c>
      <c r="F182" s="6">
        <v>103</v>
      </c>
      <c r="G182" s="6">
        <v>110</v>
      </c>
      <c r="H182" s="6">
        <v>127.6</v>
      </c>
      <c r="J182" s="36">
        <f t="shared" si="20"/>
        <v>0.03</v>
      </c>
      <c r="K182" s="6">
        <f t="shared" si="18"/>
        <v>10</v>
      </c>
      <c r="L182" s="6">
        <f t="shared" si="19"/>
        <v>120.6</v>
      </c>
      <c r="M182" s="36">
        <f t="shared" si="21"/>
        <v>0.1</v>
      </c>
      <c r="N182" s="82">
        <f t="shared" si="22"/>
        <v>0</v>
      </c>
      <c r="O182" s="82">
        <f t="shared" si="23"/>
        <v>0</v>
      </c>
    </row>
    <row r="183" spans="3:15" x14ac:dyDescent="0.35">
      <c r="C183" s="82">
        <v>7</v>
      </c>
      <c r="D183" s="36">
        <v>0.25</v>
      </c>
      <c r="E183" s="6">
        <v>100</v>
      </c>
      <c r="F183" s="6">
        <v>103</v>
      </c>
      <c r="G183" s="6">
        <v>115</v>
      </c>
      <c r="H183" s="6">
        <v>198.2</v>
      </c>
      <c r="J183" s="36">
        <f t="shared" si="20"/>
        <v>0.03</v>
      </c>
      <c r="K183" s="6">
        <f t="shared" si="18"/>
        <v>15</v>
      </c>
      <c r="L183" s="6">
        <f t="shared" si="19"/>
        <v>191.2</v>
      </c>
      <c r="M183" s="36">
        <f t="shared" si="21"/>
        <v>0.15</v>
      </c>
      <c r="N183" s="82">
        <f t="shared" si="22"/>
        <v>0</v>
      </c>
      <c r="O183" s="82">
        <f t="shared" si="23"/>
        <v>0</v>
      </c>
    </row>
    <row r="184" spans="3:15" x14ac:dyDescent="0.35">
      <c r="C184" s="82">
        <v>7</v>
      </c>
      <c r="D184" s="36">
        <v>0.25</v>
      </c>
      <c r="E184" s="6">
        <v>100</v>
      </c>
      <c r="F184" s="6">
        <v>103</v>
      </c>
      <c r="G184" s="6">
        <v>120</v>
      </c>
      <c r="H184" s="6">
        <v>272.89999999999998</v>
      </c>
      <c r="J184" s="36">
        <f t="shared" si="20"/>
        <v>0.03</v>
      </c>
      <c r="K184" s="6">
        <f t="shared" si="18"/>
        <v>20</v>
      </c>
      <c r="L184" s="6">
        <f t="shared" si="19"/>
        <v>265.89999999999998</v>
      </c>
      <c r="M184" s="36">
        <f t="shared" si="21"/>
        <v>0.2</v>
      </c>
      <c r="N184" s="82">
        <f t="shared" si="22"/>
        <v>0</v>
      </c>
      <c r="O184" s="82">
        <f t="shared" si="23"/>
        <v>0</v>
      </c>
    </row>
    <row r="185" spans="3:15" x14ac:dyDescent="0.35">
      <c r="C185" s="82">
        <v>7</v>
      </c>
      <c r="D185" s="36">
        <v>0.25</v>
      </c>
      <c r="E185" s="6">
        <v>100</v>
      </c>
      <c r="F185" s="6">
        <v>103</v>
      </c>
      <c r="G185" s="6">
        <v>125</v>
      </c>
      <c r="H185" s="6">
        <v>350.5</v>
      </c>
      <c r="J185" s="36">
        <f t="shared" si="20"/>
        <v>0.03</v>
      </c>
      <c r="K185" s="6">
        <f t="shared" si="18"/>
        <v>25</v>
      </c>
      <c r="L185" s="6">
        <f t="shared" si="19"/>
        <v>343.5</v>
      </c>
      <c r="M185" s="36">
        <f t="shared" si="21"/>
        <v>0.25</v>
      </c>
      <c r="N185" s="82">
        <f t="shared" si="22"/>
        <v>0</v>
      </c>
      <c r="O185" s="82">
        <f t="shared" si="23"/>
        <v>0</v>
      </c>
    </row>
    <row r="186" spans="3:15" x14ac:dyDescent="0.35">
      <c r="C186" s="82">
        <v>7</v>
      </c>
      <c r="D186" s="36">
        <v>0.25</v>
      </c>
      <c r="E186" s="6">
        <v>100</v>
      </c>
      <c r="F186" s="6">
        <v>104</v>
      </c>
      <c r="G186" s="6">
        <v>101</v>
      </c>
      <c r="H186" s="6">
        <v>20.8</v>
      </c>
      <c r="J186" s="36">
        <f t="shared" si="20"/>
        <v>0.04</v>
      </c>
      <c r="K186" s="6">
        <f t="shared" si="18"/>
        <v>1</v>
      </c>
      <c r="L186" s="6">
        <f t="shared" si="19"/>
        <v>13.8</v>
      </c>
      <c r="M186" s="36">
        <f t="shared" si="21"/>
        <v>0.01</v>
      </c>
      <c r="N186" s="82">
        <f t="shared" si="22"/>
        <v>0</v>
      </c>
      <c r="O186" s="82">
        <f t="shared" si="23"/>
        <v>0</v>
      </c>
    </row>
    <row r="187" spans="3:15" x14ac:dyDescent="0.35">
      <c r="C187" s="82">
        <v>7</v>
      </c>
      <c r="D187" s="36">
        <v>0.25</v>
      </c>
      <c r="E187" s="6">
        <v>100</v>
      </c>
      <c r="F187" s="6">
        <v>104</v>
      </c>
      <c r="G187" s="6">
        <v>102</v>
      </c>
      <c r="H187" s="6">
        <v>33.9</v>
      </c>
      <c r="J187" s="36">
        <f t="shared" si="20"/>
        <v>0.04</v>
      </c>
      <c r="K187" s="6">
        <f t="shared" si="18"/>
        <v>2</v>
      </c>
      <c r="L187" s="6">
        <f t="shared" si="19"/>
        <v>26.9</v>
      </c>
      <c r="M187" s="36">
        <f t="shared" si="21"/>
        <v>0.02</v>
      </c>
      <c r="N187" s="82">
        <f t="shared" si="22"/>
        <v>0</v>
      </c>
      <c r="O187" s="82">
        <f t="shared" si="23"/>
        <v>0</v>
      </c>
    </row>
    <row r="188" spans="3:15" x14ac:dyDescent="0.35">
      <c r="C188" s="82">
        <v>7</v>
      </c>
      <c r="D188" s="36">
        <v>0.25</v>
      </c>
      <c r="E188" s="6">
        <v>100</v>
      </c>
      <c r="F188" s="6">
        <v>104</v>
      </c>
      <c r="G188" s="6">
        <v>103</v>
      </c>
      <c r="H188" s="6">
        <v>47.1</v>
      </c>
      <c r="J188" s="36">
        <f t="shared" si="20"/>
        <v>0.04</v>
      </c>
      <c r="K188" s="6">
        <f t="shared" si="18"/>
        <v>3</v>
      </c>
      <c r="L188" s="6">
        <f t="shared" si="19"/>
        <v>40.1</v>
      </c>
      <c r="M188" s="36">
        <f t="shared" si="21"/>
        <v>0.03</v>
      </c>
      <c r="N188" s="82">
        <f t="shared" si="22"/>
        <v>0</v>
      </c>
      <c r="O188" s="82">
        <f t="shared" si="23"/>
        <v>0</v>
      </c>
    </row>
    <row r="189" spans="3:15" x14ac:dyDescent="0.35">
      <c r="C189" s="82">
        <v>7</v>
      </c>
      <c r="D189" s="36">
        <v>0.25</v>
      </c>
      <c r="E189" s="6">
        <v>100</v>
      </c>
      <c r="F189" s="6">
        <v>104</v>
      </c>
      <c r="G189" s="6">
        <v>104</v>
      </c>
      <c r="H189" s="6">
        <v>60.7</v>
      </c>
      <c r="J189" s="36">
        <f t="shared" si="20"/>
        <v>0.04</v>
      </c>
      <c r="K189" s="6">
        <f t="shared" si="18"/>
        <v>4</v>
      </c>
      <c r="L189" s="6">
        <f t="shared" si="19"/>
        <v>53.7</v>
      </c>
      <c r="M189" s="36">
        <f t="shared" si="21"/>
        <v>0.04</v>
      </c>
      <c r="N189" s="82">
        <f t="shared" si="22"/>
        <v>1</v>
      </c>
      <c r="O189" s="82">
        <f t="shared" si="23"/>
        <v>0</v>
      </c>
    </row>
    <row r="190" spans="3:15" x14ac:dyDescent="0.35">
      <c r="C190" s="82">
        <v>7</v>
      </c>
      <c r="D190" s="36">
        <v>0.25</v>
      </c>
      <c r="E190" s="6">
        <v>100</v>
      </c>
      <c r="F190" s="6">
        <v>104</v>
      </c>
      <c r="G190" s="6">
        <v>105</v>
      </c>
      <c r="H190" s="6">
        <v>74.7</v>
      </c>
      <c r="J190" s="36">
        <f t="shared" si="20"/>
        <v>0.04</v>
      </c>
      <c r="K190" s="6">
        <f t="shared" si="18"/>
        <v>5</v>
      </c>
      <c r="L190" s="6">
        <f t="shared" si="19"/>
        <v>67.7</v>
      </c>
      <c r="M190" s="36">
        <f t="shared" si="21"/>
        <v>0.05</v>
      </c>
      <c r="N190" s="82">
        <f t="shared" si="22"/>
        <v>0</v>
      </c>
      <c r="O190" s="82">
        <f t="shared" si="23"/>
        <v>0</v>
      </c>
    </row>
    <row r="191" spans="3:15" x14ac:dyDescent="0.35">
      <c r="C191" s="82">
        <v>7</v>
      </c>
      <c r="D191" s="36">
        <v>0.25</v>
      </c>
      <c r="E191" s="6">
        <v>100</v>
      </c>
      <c r="F191" s="6">
        <v>104</v>
      </c>
      <c r="G191" s="6">
        <v>106</v>
      </c>
      <c r="H191" s="6">
        <v>89</v>
      </c>
      <c r="J191" s="36">
        <f t="shared" si="20"/>
        <v>0.04</v>
      </c>
      <c r="K191" s="6">
        <f t="shared" si="18"/>
        <v>6</v>
      </c>
      <c r="L191" s="6">
        <f t="shared" si="19"/>
        <v>82</v>
      </c>
      <c r="M191" s="36">
        <f t="shared" si="21"/>
        <v>0.06</v>
      </c>
      <c r="N191" s="82">
        <f t="shared" si="22"/>
        <v>0</v>
      </c>
      <c r="O191" s="82">
        <f t="shared" si="23"/>
        <v>0</v>
      </c>
    </row>
    <row r="192" spans="3:15" x14ac:dyDescent="0.35">
      <c r="C192" s="82">
        <v>7</v>
      </c>
      <c r="D192" s="36">
        <v>0.25</v>
      </c>
      <c r="E192" s="6">
        <v>100</v>
      </c>
      <c r="F192" s="6">
        <v>104</v>
      </c>
      <c r="G192" s="6">
        <v>107</v>
      </c>
      <c r="H192" s="6">
        <v>103.6</v>
      </c>
      <c r="J192" s="36">
        <f t="shared" si="20"/>
        <v>0.04</v>
      </c>
      <c r="K192" s="6">
        <f t="shared" si="18"/>
        <v>7</v>
      </c>
      <c r="L192" s="6">
        <f t="shared" si="19"/>
        <v>96.6</v>
      </c>
      <c r="M192" s="36">
        <f t="shared" si="21"/>
        <v>7.0000000000000007E-2</v>
      </c>
      <c r="N192" s="82">
        <f t="shared" si="22"/>
        <v>0</v>
      </c>
      <c r="O192" s="82">
        <f t="shared" si="23"/>
        <v>0</v>
      </c>
    </row>
    <row r="193" spans="3:15" x14ac:dyDescent="0.35">
      <c r="C193" s="82">
        <v>7</v>
      </c>
      <c r="D193" s="36">
        <v>0.25</v>
      </c>
      <c r="E193" s="6">
        <v>100</v>
      </c>
      <c r="F193" s="6">
        <v>104</v>
      </c>
      <c r="G193" s="6">
        <v>108</v>
      </c>
      <c r="H193" s="6">
        <v>118.5</v>
      </c>
      <c r="J193" s="36">
        <f t="shared" si="20"/>
        <v>0.04</v>
      </c>
      <c r="K193" s="6">
        <f t="shared" si="18"/>
        <v>8</v>
      </c>
      <c r="L193" s="6">
        <f t="shared" si="19"/>
        <v>111.5</v>
      </c>
      <c r="M193" s="36">
        <f t="shared" si="21"/>
        <v>0.08</v>
      </c>
      <c r="N193" s="82">
        <f t="shared" si="22"/>
        <v>0</v>
      </c>
      <c r="O193" s="82">
        <f t="shared" si="23"/>
        <v>1</v>
      </c>
    </row>
    <row r="194" spans="3:15" x14ac:dyDescent="0.35">
      <c r="C194" s="82">
        <v>7</v>
      </c>
      <c r="D194" s="36">
        <v>0.25</v>
      </c>
      <c r="E194" s="6">
        <v>100</v>
      </c>
      <c r="F194" s="6">
        <v>104</v>
      </c>
      <c r="G194" s="6">
        <v>109</v>
      </c>
      <c r="H194" s="6">
        <v>133.69999999999999</v>
      </c>
      <c r="J194" s="36">
        <f t="shared" si="20"/>
        <v>0.04</v>
      </c>
      <c r="K194" s="6">
        <f t="shared" si="18"/>
        <v>9</v>
      </c>
      <c r="L194" s="6">
        <f t="shared" si="19"/>
        <v>126.69999999999999</v>
      </c>
      <c r="M194" s="36">
        <f t="shared" si="21"/>
        <v>0.09</v>
      </c>
      <c r="N194" s="82">
        <f t="shared" si="22"/>
        <v>0</v>
      </c>
      <c r="O194" s="82">
        <f t="shared" si="23"/>
        <v>0</v>
      </c>
    </row>
    <row r="195" spans="3:15" x14ac:dyDescent="0.35">
      <c r="C195" s="82">
        <v>7</v>
      </c>
      <c r="D195" s="36">
        <v>0.25</v>
      </c>
      <c r="E195" s="6">
        <v>100</v>
      </c>
      <c r="F195" s="6">
        <v>104</v>
      </c>
      <c r="G195" s="6">
        <v>110</v>
      </c>
      <c r="H195" s="6">
        <v>149.1</v>
      </c>
      <c r="J195" s="36">
        <f t="shared" si="20"/>
        <v>0.04</v>
      </c>
      <c r="K195" s="6">
        <f t="shared" si="18"/>
        <v>10</v>
      </c>
      <c r="L195" s="6">
        <f t="shared" si="19"/>
        <v>142.1</v>
      </c>
      <c r="M195" s="36">
        <f t="shared" si="21"/>
        <v>0.1</v>
      </c>
      <c r="N195" s="82">
        <f t="shared" si="22"/>
        <v>0</v>
      </c>
      <c r="O195" s="82">
        <f t="shared" si="23"/>
        <v>0</v>
      </c>
    </row>
    <row r="196" spans="3:15" x14ac:dyDescent="0.35">
      <c r="C196" s="82">
        <v>7</v>
      </c>
      <c r="D196" s="36">
        <v>0.25</v>
      </c>
      <c r="E196" s="6">
        <v>100</v>
      </c>
      <c r="F196" s="6">
        <v>104</v>
      </c>
      <c r="G196" s="6">
        <v>115</v>
      </c>
      <c r="H196" s="6">
        <v>229.4</v>
      </c>
      <c r="J196" s="36">
        <f t="shared" si="20"/>
        <v>0.04</v>
      </c>
      <c r="K196" s="6">
        <f t="shared" si="18"/>
        <v>15</v>
      </c>
      <c r="L196" s="6">
        <f t="shared" si="19"/>
        <v>222.4</v>
      </c>
      <c r="M196" s="36">
        <f t="shared" si="21"/>
        <v>0.15</v>
      </c>
      <c r="N196" s="82">
        <f t="shared" si="22"/>
        <v>0</v>
      </c>
      <c r="O196" s="82">
        <f t="shared" si="23"/>
        <v>0</v>
      </c>
    </row>
    <row r="197" spans="3:15" x14ac:dyDescent="0.35">
      <c r="C197" s="82">
        <v>7</v>
      </c>
      <c r="D197" s="36">
        <v>0.25</v>
      </c>
      <c r="E197" s="6">
        <v>100</v>
      </c>
      <c r="F197" s="6">
        <v>104</v>
      </c>
      <c r="G197" s="6">
        <v>120</v>
      </c>
      <c r="H197" s="6">
        <v>313.60000000000002</v>
      </c>
      <c r="J197" s="36">
        <f t="shared" si="20"/>
        <v>0.04</v>
      </c>
      <c r="K197" s="6">
        <f t="shared" si="18"/>
        <v>20</v>
      </c>
      <c r="L197" s="6">
        <f t="shared" si="19"/>
        <v>306.60000000000002</v>
      </c>
      <c r="M197" s="36">
        <f t="shared" si="21"/>
        <v>0.2</v>
      </c>
      <c r="N197" s="82">
        <f t="shared" si="22"/>
        <v>0</v>
      </c>
      <c r="O197" s="82">
        <f t="shared" si="23"/>
        <v>0</v>
      </c>
    </row>
    <row r="198" spans="3:15" x14ac:dyDescent="0.35">
      <c r="C198" s="82">
        <v>7</v>
      </c>
      <c r="D198" s="36">
        <v>0.25</v>
      </c>
      <c r="E198" s="6">
        <v>100</v>
      </c>
      <c r="F198" s="6">
        <v>104</v>
      </c>
      <c r="G198" s="6">
        <v>125</v>
      </c>
      <c r="H198" s="6">
        <v>400.4</v>
      </c>
      <c r="J198" s="36">
        <f t="shared" si="20"/>
        <v>0.04</v>
      </c>
      <c r="K198" s="6">
        <f t="shared" ref="K198:K250" si="24">G198-E198</f>
        <v>25</v>
      </c>
      <c r="L198" s="6">
        <f t="shared" ref="L198:L250" si="25">H198-C198</f>
        <v>393.4</v>
      </c>
      <c r="M198" s="36">
        <f t="shared" si="21"/>
        <v>0.25</v>
      </c>
      <c r="N198" s="82">
        <f t="shared" si="22"/>
        <v>0</v>
      </c>
      <c r="O198" s="82">
        <f t="shared" si="23"/>
        <v>0</v>
      </c>
    </row>
    <row r="199" spans="3:15" x14ac:dyDescent="0.35">
      <c r="C199" s="82">
        <v>7</v>
      </c>
      <c r="D199" s="36">
        <v>0.25</v>
      </c>
      <c r="E199" s="6">
        <v>100</v>
      </c>
      <c r="F199" s="6">
        <v>105</v>
      </c>
      <c r="G199" s="6">
        <v>101</v>
      </c>
      <c r="H199" s="6">
        <v>24.6</v>
      </c>
      <c r="J199" s="36">
        <f t="shared" si="20"/>
        <v>0.05</v>
      </c>
      <c r="K199" s="6">
        <f t="shared" si="24"/>
        <v>1</v>
      </c>
      <c r="L199" s="6">
        <f t="shared" si="25"/>
        <v>17.600000000000001</v>
      </c>
      <c r="M199" s="36">
        <f t="shared" si="21"/>
        <v>0.01</v>
      </c>
      <c r="N199" s="82">
        <f t="shared" si="22"/>
        <v>0</v>
      </c>
      <c r="O199" s="82">
        <f t="shared" si="23"/>
        <v>0</v>
      </c>
    </row>
    <row r="200" spans="3:15" x14ac:dyDescent="0.35">
      <c r="C200" s="82">
        <v>7</v>
      </c>
      <c r="D200" s="36">
        <v>0.25</v>
      </c>
      <c r="E200" s="6">
        <v>100</v>
      </c>
      <c r="F200" s="6">
        <v>105</v>
      </c>
      <c r="G200" s="6">
        <v>102</v>
      </c>
      <c r="H200" s="6">
        <v>40.1</v>
      </c>
      <c r="J200" s="36">
        <f t="shared" si="20"/>
        <v>0.05</v>
      </c>
      <c r="K200" s="6">
        <f t="shared" si="24"/>
        <v>2</v>
      </c>
      <c r="L200" s="6">
        <f t="shared" si="25"/>
        <v>33.1</v>
      </c>
      <c r="M200" s="36">
        <f t="shared" si="21"/>
        <v>0.02</v>
      </c>
      <c r="N200" s="82">
        <f t="shared" si="22"/>
        <v>0</v>
      </c>
      <c r="O200" s="82">
        <f t="shared" si="23"/>
        <v>0</v>
      </c>
    </row>
    <row r="201" spans="3:15" x14ac:dyDescent="0.35">
      <c r="C201" s="82">
        <v>7</v>
      </c>
      <c r="D201" s="36">
        <v>0.25</v>
      </c>
      <c r="E201" s="6">
        <v>100</v>
      </c>
      <c r="F201" s="6">
        <v>105</v>
      </c>
      <c r="G201" s="6">
        <v>103</v>
      </c>
      <c r="H201" s="6">
        <v>55.7</v>
      </c>
      <c r="J201" s="36">
        <f t="shared" si="20"/>
        <v>0.05</v>
      </c>
      <c r="K201" s="6">
        <f t="shared" si="24"/>
        <v>3</v>
      </c>
      <c r="L201" s="6">
        <f t="shared" si="25"/>
        <v>48.7</v>
      </c>
      <c r="M201" s="36">
        <f t="shared" si="21"/>
        <v>0.03</v>
      </c>
      <c r="N201" s="82">
        <f t="shared" si="22"/>
        <v>0</v>
      </c>
      <c r="O201" s="82">
        <f t="shared" si="23"/>
        <v>0</v>
      </c>
    </row>
    <row r="202" spans="3:15" x14ac:dyDescent="0.35">
      <c r="C202" s="82">
        <v>7</v>
      </c>
      <c r="D202" s="36">
        <v>0.25</v>
      </c>
      <c r="E202" s="6">
        <v>100</v>
      </c>
      <c r="F202" s="6">
        <v>105</v>
      </c>
      <c r="G202" s="6">
        <v>104</v>
      </c>
      <c r="H202" s="6">
        <v>71.5</v>
      </c>
      <c r="J202" s="36">
        <f t="shared" si="20"/>
        <v>0.05</v>
      </c>
      <c r="K202" s="6">
        <f t="shared" si="24"/>
        <v>4</v>
      </c>
      <c r="L202" s="6">
        <f t="shared" si="25"/>
        <v>64.5</v>
      </c>
      <c r="M202" s="36">
        <f t="shared" si="21"/>
        <v>0.04</v>
      </c>
      <c r="N202" s="82">
        <f t="shared" si="22"/>
        <v>0</v>
      </c>
      <c r="O202" s="82">
        <f t="shared" si="23"/>
        <v>0</v>
      </c>
    </row>
    <row r="203" spans="3:15" x14ac:dyDescent="0.35">
      <c r="C203" s="82">
        <v>7</v>
      </c>
      <c r="D203" s="36">
        <v>0.25</v>
      </c>
      <c r="E203" s="6">
        <v>100</v>
      </c>
      <c r="F203" s="6">
        <v>105</v>
      </c>
      <c r="G203" s="6">
        <v>105</v>
      </c>
      <c r="H203" s="6">
        <v>87.7</v>
      </c>
      <c r="J203" s="36">
        <f t="shared" si="20"/>
        <v>0.05</v>
      </c>
      <c r="K203" s="6">
        <f t="shared" si="24"/>
        <v>5</v>
      </c>
      <c r="L203" s="6">
        <f t="shared" si="25"/>
        <v>80.7</v>
      </c>
      <c r="M203" s="36">
        <f t="shared" si="21"/>
        <v>0.05</v>
      </c>
      <c r="N203" s="82">
        <f t="shared" si="22"/>
        <v>1</v>
      </c>
      <c r="O203" s="82">
        <f t="shared" si="23"/>
        <v>0</v>
      </c>
    </row>
    <row r="204" spans="3:15" x14ac:dyDescent="0.35">
      <c r="C204" s="82">
        <v>7</v>
      </c>
      <c r="D204" s="36">
        <v>0.25</v>
      </c>
      <c r="E204" s="6">
        <v>100</v>
      </c>
      <c r="F204" s="6">
        <v>105</v>
      </c>
      <c r="G204" s="6">
        <v>106</v>
      </c>
      <c r="H204" s="6">
        <v>104.1</v>
      </c>
      <c r="J204" s="36">
        <f t="shared" si="20"/>
        <v>0.05</v>
      </c>
      <c r="K204" s="6">
        <f t="shared" si="24"/>
        <v>6</v>
      </c>
      <c r="L204" s="6">
        <f t="shared" si="25"/>
        <v>97.1</v>
      </c>
      <c r="M204" s="36">
        <f t="shared" si="21"/>
        <v>0.06</v>
      </c>
      <c r="N204" s="82">
        <f t="shared" si="22"/>
        <v>0</v>
      </c>
      <c r="O204" s="82">
        <f t="shared" si="23"/>
        <v>0</v>
      </c>
    </row>
    <row r="205" spans="3:15" x14ac:dyDescent="0.35">
      <c r="C205" s="82">
        <v>7</v>
      </c>
      <c r="D205" s="36">
        <v>0.25</v>
      </c>
      <c r="E205" s="6">
        <v>100</v>
      </c>
      <c r="F205" s="6">
        <v>105</v>
      </c>
      <c r="G205" s="6">
        <v>107</v>
      </c>
      <c r="H205" s="6">
        <v>120.8</v>
      </c>
      <c r="J205" s="36">
        <f t="shared" si="20"/>
        <v>0.05</v>
      </c>
      <c r="K205" s="6">
        <f t="shared" si="24"/>
        <v>7</v>
      </c>
      <c r="L205" s="6">
        <f t="shared" si="25"/>
        <v>113.8</v>
      </c>
      <c r="M205" s="36">
        <f t="shared" si="21"/>
        <v>7.0000000000000007E-2</v>
      </c>
      <c r="N205" s="82">
        <f t="shared" si="22"/>
        <v>0</v>
      </c>
      <c r="O205" s="82">
        <f t="shared" si="23"/>
        <v>0</v>
      </c>
    </row>
    <row r="206" spans="3:15" x14ac:dyDescent="0.35">
      <c r="C206" s="82">
        <v>7</v>
      </c>
      <c r="D206" s="36">
        <v>0.25</v>
      </c>
      <c r="E206" s="6">
        <v>100</v>
      </c>
      <c r="F206" s="6">
        <v>105</v>
      </c>
      <c r="G206" s="6">
        <v>108</v>
      </c>
      <c r="H206" s="6">
        <v>137.80000000000001</v>
      </c>
      <c r="J206" s="36">
        <f t="shared" si="20"/>
        <v>0.05</v>
      </c>
      <c r="K206" s="6">
        <f t="shared" si="24"/>
        <v>8</v>
      </c>
      <c r="L206" s="6">
        <f t="shared" si="25"/>
        <v>130.80000000000001</v>
      </c>
      <c r="M206" s="36">
        <f t="shared" si="21"/>
        <v>0.08</v>
      </c>
      <c r="N206" s="82">
        <f t="shared" si="22"/>
        <v>0</v>
      </c>
      <c r="O206" s="82">
        <f t="shared" si="23"/>
        <v>0</v>
      </c>
    </row>
    <row r="207" spans="3:15" x14ac:dyDescent="0.35">
      <c r="C207" s="82">
        <v>7</v>
      </c>
      <c r="D207" s="36">
        <v>0.25</v>
      </c>
      <c r="E207" s="6">
        <v>100</v>
      </c>
      <c r="F207" s="6">
        <v>105</v>
      </c>
      <c r="G207" s="6">
        <v>109</v>
      </c>
      <c r="H207" s="6">
        <v>155</v>
      </c>
      <c r="J207" s="36">
        <f t="shared" si="20"/>
        <v>0.05</v>
      </c>
      <c r="K207" s="6">
        <f t="shared" si="24"/>
        <v>9</v>
      </c>
      <c r="L207" s="6">
        <f t="shared" si="25"/>
        <v>148</v>
      </c>
      <c r="M207" s="36">
        <f t="shared" si="21"/>
        <v>0.09</v>
      </c>
      <c r="N207" s="82">
        <f t="shared" si="22"/>
        <v>0</v>
      </c>
      <c r="O207" s="82">
        <f t="shared" si="23"/>
        <v>0</v>
      </c>
    </row>
    <row r="208" spans="3:15" x14ac:dyDescent="0.35">
      <c r="C208" s="82">
        <v>7</v>
      </c>
      <c r="D208" s="36">
        <v>0.25</v>
      </c>
      <c r="E208" s="6">
        <v>100</v>
      </c>
      <c r="F208" s="6">
        <v>105</v>
      </c>
      <c r="G208" s="6">
        <v>110</v>
      </c>
      <c r="H208" s="6">
        <v>172.5</v>
      </c>
      <c r="J208" s="36">
        <f t="shared" si="20"/>
        <v>0.05</v>
      </c>
      <c r="K208" s="6">
        <f t="shared" si="24"/>
        <v>10</v>
      </c>
      <c r="L208" s="6">
        <f t="shared" si="25"/>
        <v>165.5</v>
      </c>
      <c r="M208" s="36">
        <f t="shared" si="21"/>
        <v>0.1</v>
      </c>
      <c r="N208" s="82">
        <f t="shared" si="22"/>
        <v>0</v>
      </c>
      <c r="O208" s="82">
        <f t="shared" si="23"/>
        <v>1</v>
      </c>
    </row>
    <row r="209" spans="3:15" x14ac:dyDescent="0.35">
      <c r="C209" s="82">
        <v>7</v>
      </c>
      <c r="D209" s="36">
        <v>0.25</v>
      </c>
      <c r="E209" s="6">
        <v>100</v>
      </c>
      <c r="F209" s="6">
        <v>105</v>
      </c>
      <c r="G209" s="6">
        <v>115</v>
      </c>
      <c r="H209" s="6">
        <v>262.7</v>
      </c>
      <c r="J209" s="36">
        <f t="shared" si="20"/>
        <v>0.05</v>
      </c>
      <c r="K209" s="6">
        <f t="shared" si="24"/>
        <v>15</v>
      </c>
      <c r="L209" s="6">
        <f t="shared" si="25"/>
        <v>255.7</v>
      </c>
      <c r="M209" s="36">
        <f t="shared" si="21"/>
        <v>0.15</v>
      </c>
      <c r="N209" s="82">
        <f t="shared" si="22"/>
        <v>0</v>
      </c>
      <c r="O209" s="82">
        <f t="shared" si="23"/>
        <v>0</v>
      </c>
    </row>
    <row r="210" spans="3:15" x14ac:dyDescent="0.35">
      <c r="C210" s="82">
        <v>7</v>
      </c>
      <c r="D210" s="36">
        <v>0.25</v>
      </c>
      <c r="E210" s="6">
        <v>100</v>
      </c>
      <c r="F210" s="6">
        <v>105</v>
      </c>
      <c r="G210" s="6">
        <v>120</v>
      </c>
      <c r="H210" s="6">
        <v>356.6</v>
      </c>
      <c r="J210" s="36">
        <f t="shared" ref="J210:J273" si="26">(F210-E210)/E210</f>
        <v>0.05</v>
      </c>
      <c r="K210" s="6">
        <f t="shared" si="24"/>
        <v>20</v>
      </c>
      <c r="L210" s="6">
        <f t="shared" si="25"/>
        <v>349.6</v>
      </c>
      <c r="M210" s="36">
        <f t="shared" ref="M210:M273" si="27">K210/E210</f>
        <v>0.2</v>
      </c>
      <c r="N210" s="82">
        <f t="shared" ref="N210:N273" si="28">IF(M210=J210,1,0)</f>
        <v>0</v>
      </c>
      <c r="O210" s="82">
        <f t="shared" ref="O210:O273" si="29">IF(J210=0,0,IF(M210/J210=2,1,0))</f>
        <v>0</v>
      </c>
    </row>
    <row r="211" spans="3:15" x14ac:dyDescent="0.35">
      <c r="C211" s="82">
        <v>7</v>
      </c>
      <c r="D211" s="36">
        <v>0.25</v>
      </c>
      <c r="E211" s="6">
        <v>100</v>
      </c>
      <c r="F211" s="6">
        <v>105</v>
      </c>
      <c r="G211" s="6">
        <v>125</v>
      </c>
      <c r="H211" s="6">
        <v>452.8</v>
      </c>
      <c r="J211" s="36">
        <f t="shared" si="26"/>
        <v>0.05</v>
      </c>
      <c r="K211" s="6">
        <f t="shared" si="24"/>
        <v>25</v>
      </c>
      <c r="L211" s="6">
        <f t="shared" si="25"/>
        <v>445.8</v>
      </c>
      <c r="M211" s="36">
        <f t="shared" si="27"/>
        <v>0.25</v>
      </c>
      <c r="N211" s="82">
        <f t="shared" si="28"/>
        <v>0</v>
      </c>
      <c r="O211" s="82">
        <f t="shared" si="29"/>
        <v>0</v>
      </c>
    </row>
    <row r="212" spans="3:15" hidden="1" x14ac:dyDescent="0.35">
      <c r="C212" s="82">
        <v>7</v>
      </c>
      <c r="D212" s="36">
        <v>0.25</v>
      </c>
      <c r="E212" s="6">
        <v>100</v>
      </c>
      <c r="F212" s="6">
        <v>110</v>
      </c>
      <c r="G212" s="6">
        <v>101</v>
      </c>
      <c r="H212" s="6">
        <v>52.6</v>
      </c>
      <c r="J212" s="36">
        <f t="shared" si="26"/>
        <v>0.1</v>
      </c>
      <c r="K212" s="6">
        <f t="shared" si="24"/>
        <v>1</v>
      </c>
      <c r="L212" s="6">
        <f t="shared" si="25"/>
        <v>45.6</v>
      </c>
      <c r="M212" s="36">
        <f t="shared" si="27"/>
        <v>0.01</v>
      </c>
      <c r="N212" s="82">
        <f t="shared" si="28"/>
        <v>0</v>
      </c>
      <c r="O212" s="82">
        <f t="shared" si="29"/>
        <v>0</v>
      </c>
    </row>
    <row r="213" spans="3:15" hidden="1" x14ac:dyDescent="0.35">
      <c r="C213" s="82">
        <v>7</v>
      </c>
      <c r="D213" s="36">
        <v>0.25</v>
      </c>
      <c r="E213" s="6">
        <v>100</v>
      </c>
      <c r="F213" s="6">
        <v>110</v>
      </c>
      <c r="G213" s="6">
        <v>102</v>
      </c>
      <c r="H213" s="6">
        <v>82.6</v>
      </c>
      <c r="J213" s="36">
        <f t="shared" si="26"/>
        <v>0.1</v>
      </c>
      <c r="K213" s="6">
        <f t="shared" si="24"/>
        <v>2</v>
      </c>
      <c r="L213" s="6">
        <f t="shared" si="25"/>
        <v>75.599999999999994</v>
      </c>
      <c r="M213" s="36">
        <f t="shared" si="27"/>
        <v>0.02</v>
      </c>
      <c r="N213" s="82">
        <f t="shared" si="28"/>
        <v>0</v>
      </c>
      <c r="O213" s="82">
        <f t="shared" si="29"/>
        <v>0</v>
      </c>
    </row>
    <row r="214" spans="3:15" hidden="1" x14ac:dyDescent="0.35">
      <c r="C214" s="82">
        <v>7</v>
      </c>
      <c r="D214" s="36">
        <v>0.25</v>
      </c>
      <c r="E214" s="6">
        <v>100</v>
      </c>
      <c r="F214" s="6">
        <v>110</v>
      </c>
      <c r="G214" s="6">
        <v>103</v>
      </c>
      <c r="H214" s="6">
        <v>111</v>
      </c>
      <c r="J214" s="36">
        <f t="shared" si="26"/>
        <v>0.1</v>
      </c>
      <c r="K214" s="6">
        <f t="shared" si="24"/>
        <v>3</v>
      </c>
      <c r="L214" s="6">
        <f t="shared" si="25"/>
        <v>104</v>
      </c>
      <c r="M214" s="36">
        <f t="shared" si="27"/>
        <v>0.03</v>
      </c>
      <c r="N214" s="82">
        <f t="shared" si="28"/>
        <v>0</v>
      </c>
      <c r="O214" s="82">
        <f t="shared" si="29"/>
        <v>0</v>
      </c>
    </row>
    <row r="215" spans="3:15" hidden="1" x14ac:dyDescent="0.35">
      <c r="C215" s="82">
        <v>7</v>
      </c>
      <c r="D215" s="36">
        <v>0.25</v>
      </c>
      <c r="E215" s="6">
        <v>100</v>
      </c>
      <c r="F215" s="6">
        <v>110</v>
      </c>
      <c r="G215" s="6">
        <v>104</v>
      </c>
      <c r="H215" s="6">
        <v>138.80000000000001</v>
      </c>
      <c r="J215" s="36">
        <f t="shared" si="26"/>
        <v>0.1</v>
      </c>
      <c r="K215" s="6">
        <f t="shared" si="24"/>
        <v>4</v>
      </c>
      <c r="L215" s="6">
        <f t="shared" si="25"/>
        <v>131.80000000000001</v>
      </c>
      <c r="M215" s="36">
        <f t="shared" si="27"/>
        <v>0.04</v>
      </c>
      <c r="N215" s="82">
        <f t="shared" si="28"/>
        <v>0</v>
      </c>
      <c r="O215" s="82">
        <f t="shared" si="29"/>
        <v>0</v>
      </c>
    </row>
    <row r="216" spans="3:15" hidden="1" x14ac:dyDescent="0.35">
      <c r="C216" s="82">
        <v>7</v>
      </c>
      <c r="D216" s="36">
        <v>0.25</v>
      </c>
      <c r="E216" s="6">
        <v>100</v>
      </c>
      <c r="F216" s="6">
        <v>110</v>
      </c>
      <c r="G216" s="6">
        <v>105</v>
      </c>
      <c r="H216" s="6">
        <v>166.5</v>
      </c>
      <c r="J216" s="36">
        <f t="shared" si="26"/>
        <v>0.1</v>
      </c>
      <c r="K216" s="6">
        <f t="shared" si="24"/>
        <v>5</v>
      </c>
      <c r="L216" s="6">
        <f t="shared" si="25"/>
        <v>159.5</v>
      </c>
      <c r="M216" s="36">
        <f t="shared" si="27"/>
        <v>0.05</v>
      </c>
      <c r="N216" s="82">
        <f t="shared" si="28"/>
        <v>0</v>
      </c>
      <c r="O216" s="82">
        <f t="shared" si="29"/>
        <v>0</v>
      </c>
    </row>
    <row r="217" spans="3:15" hidden="1" x14ac:dyDescent="0.35">
      <c r="C217" s="82">
        <v>7</v>
      </c>
      <c r="D217" s="36">
        <v>0.25</v>
      </c>
      <c r="E217" s="6">
        <v>100</v>
      </c>
      <c r="F217" s="6">
        <v>110</v>
      </c>
      <c r="G217" s="6">
        <v>106</v>
      </c>
      <c r="H217" s="6">
        <v>194.1</v>
      </c>
      <c r="J217" s="36">
        <f t="shared" si="26"/>
        <v>0.1</v>
      </c>
      <c r="K217" s="6">
        <f t="shared" si="24"/>
        <v>6</v>
      </c>
      <c r="L217" s="6">
        <f t="shared" si="25"/>
        <v>187.1</v>
      </c>
      <c r="M217" s="36">
        <f t="shared" si="27"/>
        <v>0.06</v>
      </c>
      <c r="N217" s="82">
        <f t="shared" si="28"/>
        <v>0</v>
      </c>
      <c r="O217" s="82">
        <f t="shared" si="29"/>
        <v>0</v>
      </c>
    </row>
    <row r="218" spans="3:15" hidden="1" x14ac:dyDescent="0.35">
      <c r="C218" s="82">
        <v>7</v>
      </c>
      <c r="D218" s="36">
        <v>0.25</v>
      </c>
      <c r="E218" s="6">
        <v>100</v>
      </c>
      <c r="F218" s="6">
        <v>110</v>
      </c>
      <c r="G218" s="6">
        <v>107</v>
      </c>
      <c r="H218" s="6">
        <v>221.7</v>
      </c>
      <c r="J218" s="36">
        <f t="shared" si="26"/>
        <v>0.1</v>
      </c>
      <c r="K218" s="6">
        <f t="shared" si="24"/>
        <v>7</v>
      </c>
      <c r="L218" s="6">
        <f t="shared" si="25"/>
        <v>214.7</v>
      </c>
      <c r="M218" s="36">
        <f t="shared" si="27"/>
        <v>7.0000000000000007E-2</v>
      </c>
      <c r="N218" s="82">
        <f t="shared" si="28"/>
        <v>0</v>
      </c>
      <c r="O218" s="82">
        <f t="shared" si="29"/>
        <v>0</v>
      </c>
    </row>
    <row r="219" spans="3:15" hidden="1" x14ac:dyDescent="0.35">
      <c r="C219" s="82">
        <v>7</v>
      </c>
      <c r="D219" s="36">
        <v>0.25</v>
      </c>
      <c r="E219" s="6">
        <v>100</v>
      </c>
      <c r="F219" s="6">
        <v>110</v>
      </c>
      <c r="G219" s="6">
        <v>108</v>
      </c>
      <c r="H219" s="6">
        <v>249.3</v>
      </c>
      <c r="J219" s="36">
        <f t="shared" si="26"/>
        <v>0.1</v>
      </c>
      <c r="K219" s="6">
        <f t="shared" si="24"/>
        <v>8</v>
      </c>
      <c r="L219" s="6">
        <f t="shared" si="25"/>
        <v>242.3</v>
      </c>
      <c r="M219" s="36">
        <f t="shared" si="27"/>
        <v>0.08</v>
      </c>
      <c r="N219" s="82">
        <f t="shared" si="28"/>
        <v>0</v>
      </c>
      <c r="O219" s="82">
        <f t="shared" si="29"/>
        <v>0</v>
      </c>
    </row>
    <row r="220" spans="3:15" hidden="1" x14ac:dyDescent="0.35">
      <c r="C220" s="82">
        <v>7</v>
      </c>
      <c r="D220" s="36">
        <v>0.25</v>
      </c>
      <c r="E220" s="6">
        <v>100</v>
      </c>
      <c r="F220" s="6">
        <v>110</v>
      </c>
      <c r="G220" s="6">
        <v>109</v>
      </c>
      <c r="H220" s="6">
        <v>277</v>
      </c>
      <c r="J220" s="36">
        <f t="shared" si="26"/>
        <v>0.1</v>
      </c>
      <c r="K220" s="6">
        <f t="shared" si="24"/>
        <v>9</v>
      </c>
      <c r="L220" s="6">
        <f t="shared" si="25"/>
        <v>270</v>
      </c>
      <c r="M220" s="36">
        <f t="shared" si="27"/>
        <v>0.09</v>
      </c>
      <c r="N220" s="82">
        <f t="shared" si="28"/>
        <v>0</v>
      </c>
      <c r="O220" s="82">
        <f t="shared" si="29"/>
        <v>0</v>
      </c>
    </row>
    <row r="221" spans="3:15" hidden="1" x14ac:dyDescent="0.35">
      <c r="C221" s="82">
        <v>7</v>
      </c>
      <c r="D221" s="36">
        <v>0.25</v>
      </c>
      <c r="E221" s="6">
        <v>100</v>
      </c>
      <c r="F221" s="6">
        <v>110</v>
      </c>
      <c r="G221" s="6">
        <v>110</v>
      </c>
      <c r="H221" s="6">
        <v>304.8</v>
      </c>
      <c r="J221" s="36">
        <f t="shared" si="26"/>
        <v>0.1</v>
      </c>
      <c r="K221" s="6">
        <f t="shared" si="24"/>
        <v>10</v>
      </c>
      <c r="L221" s="6">
        <f t="shared" si="25"/>
        <v>297.8</v>
      </c>
      <c r="M221" s="36">
        <f t="shared" si="27"/>
        <v>0.1</v>
      </c>
      <c r="N221" s="82">
        <f t="shared" si="28"/>
        <v>1</v>
      </c>
      <c r="O221" s="82">
        <f t="shared" si="29"/>
        <v>0</v>
      </c>
    </row>
    <row r="222" spans="3:15" hidden="1" x14ac:dyDescent="0.35">
      <c r="C222" s="82">
        <v>7</v>
      </c>
      <c r="D222" s="36">
        <v>0.25</v>
      </c>
      <c r="E222" s="6">
        <v>100</v>
      </c>
      <c r="F222" s="6">
        <v>110</v>
      </c>
      <c r="G222" s="6">
        <v>115</v>
      </c>
      <c r="H222" s="6">
        <v>444.7</v>
      </c>
      <c r="J222" s="36">
        <f t="shared" si="26"/>
        <v>0.1</v>
      </c>
      <c r="K222" s="6">
        <f t="shared" si="24"/>
        <v>15</v>
      </c>
      <c r="L222" s="6">
        <f t="shared" si="25"/>
        <v>437.7</v>
      </c>
      <c r="M222" s="36">
        <f t="shared" si="27"/>
        <v>0.15</v>
      </c>
      <c r="N222" s="82">
        <f t="shared" si="28"/>
        <v>0</v>
      </c>
      <c r="O222" s="82">
        <f t="shared" si="29"/>
        <v>0</v>
      </c>
    </row>
    <row r="223" spans="3:15" hidden="1" x14ac:dyDescent="0.35">
      <c r="C223" s="82">
        <v>7</v>
      </c>
      <c r="D223" s="36">
        <v>0.25</v>
      </c>
      <c r="E223" s="6">
        <v>100</v>
      </c>
      <c r="F223" s="6">
        <v>110</v>
      </c>
      <c r="G223" s="6">
        <v>120</v>
      </c>
      <c r="H223" s="6">
        <v>585.5</v>
      </c>
      <c r="J223" s="36">
        <f t="shared" si="26"/>
        <v>0.1</v>
      </c>
      <c r="K223" s="6">
        <f t="shared" si="24"/>
        <v>20</v>
      </c>
      <c r="L223" s="6">
        <f t="shared" si="25"/>
        <v>578.5</v>
      </c>
      <c r="M223" s="36">
        <f t="shared" si="27"/>
        <v>0.2</v>
      </c>
      <c r="N223" s="82">
        <f t="shared" si="28"/>
        <v>0</v>
      </c>
      <c r="O223" s="82">
        <f t="shared" si="29"/>
        <v>1</v>
      </c>
    </row>
    <row r="224" spans="3:15" hidden="1" x14ac:dyDescent="0.35">
      <c r="C224" s="82">
        <v>7</v>
      </c>
      <c r="D224" s="36">
        <v>0.25</v>
      </c>
      <c r="E224" s="6">
        <v>100</v>
      </c>
      <c r="F224" s="6">
        <v>110</v>
      </c>
      <c r="G224" s="6">
        <v>125</v>
      </c>
      <c r="H224" s="6">
        <v>726.5</v>
      </c>
      <c r="J224" s="36">
        <f t="shared" si="26"/>
        <v>0.1</v>
      </c>
      <c r="K224" s="6">
        <f t="shared" si="24"/>
        <v>25</v>
      </c>
      <c r="L224" s="6">
        <f t="shared" si="25"/>
        <v>719.5</v>
      </c>
      <c r="M224" s="36">
        <f t="shared" si="27"/>
        <v>0.25</v>
      </c>
      <c r="N224" s="82">
        <f t="shared" si="28"/>
        <v>0</v>
      </c>
      <c r="O224" s="82">
        <f t="shared" si="29"/>
        <v>0</v>
      </c>
    </row>
    <row r="225" spans="3:15" hidden="1" x14ac:dyDescent="0.35">
      <c r="C225" s="82">
        <v>7</v>
      </c>
      <c r="D225" s="36">
        <v>0.25</v>
      </c>
      <c r="E225" s="6">
        <v>100</v>
      </c>
      <c r="F225" s="6">
        <v>115</v>
      </c>
      <c r="G225" s="6">
        <v>101</v>
      </c>
      <c r="H225" s="6">
        <v>88.9</v>
      </c>
      <c r="J225" s="36">
        <f t="shared" si="26"/>
        <v>0.15</v>
      </c>
      <c r="K225" s="6">
        <f t="shared" si="24"/>
        <v>1</v>
      </c>
      <c r="L225" s="6">
        <f t="shared" si="25"/>
        <v>81.900000000000006</v>
      </c>
      <c r="M225" s="36">
        <f t="shared" si="27"/>
        <v>0.01</v>
      </c>
      <c r="N225" s="82">
        <f t="shared" si="28"/>
        <v>0</v>
      </c>
      <c r="O225" s="82">
        <f t="shared" si="29"/>
        <v>0</v>
      </c>
    </row>
    <row r="226" spans="3:15" hidden="1" x14ac:dyDescent="0.35">
      <c r="C226" s="82">
        <v>7</v>
      </c>
      <c r="D226" s="36">
        <v>0.25</v>
      </c>
      <c r="E226" s="6">
        <v>100</v>
      </c>
      <c r="F226" s="6">
        <v>115</v>
      </c>
      <c r="G226" s="6">
        <v>102</v>
      </c>
      <c r="H226" s="6">
        <v>134.19999999999999</v>
      </c>
      <c r="J226" s="36">
        <f t="shared" si="26"/>
        <v>0.15</v>
      </c>
      <c r="K226" s="6">
        <f t="shared" si="24"/>
        <v>2</v>
      </c>
      <c r="L226" s="6">
        <f t="shared" si="25"/>
        <v>127.19999999999999</v>
      </c>
      <c r="M226" s="36">
        <f t="shared" si="27"/>
        <v>0.02</v>
      </c>
      <c r="N226" s="82">
        <f t="shared" si="28"/>
        <v>0</v>
      </c>
      <c r="O226" s="82">
        <f t="shared" si="29"/>
        <v>0</v>
      </c>
    </row>
    <row r="227" spans="3:15" hidden="1" x14ac:dyDescent="0.35">
      <c r="C227" s="82">
        <v>7</v>
      </c>
      <c r="D227" s="36">
        <v>0.25</v>
      </c>
      <c r="E227" s="6">
        <v>100</v>
      </c>
      <c r="F227" s="6">
        <v>115</v>
      </c>
      <c r="G227" s="6">
        <v>103</v>
      </c>
      <c r="H227" s="6">
        <v>175.8</v>
      </c>
      <c r="J227" s="36">
        <f t="shared" si="26"/>
        <v>0.15</v>
      </c>
      <c r="K227" s="6">
        <f t="shared" si="24"/>
        <v>3</v>
      </c>
      <c r="L227" s="6">
        <f t="shared" si="25"/>
        <v>168.8</v>
      </c>
      <c r="M227" s="36">
        <f t="shared" si="27"/>
        <v>0.03</v>
      </c>
      <c r="N227" s="82">
        <f t="shared" si="28"/>
        <v>0</v>
      </c>
      <c r="O227" s="82">
        <f t="shared" si="29"/>
        <v>0</v>
      </c>
    </row>
    <row r="228" spans="3:15" hidden="1" x14ac:dyDescent="0.35">
      <c r="C228" s="82">
        <v>7</v>
      </c>
      <c r="D228" s="36">
        <v>0.25</v>
      </c>
      <c r="E228" s="6">
        <v>100</v>
      </c>
      <c r="F228" s="6">
        <v>115</v>
      </c>
      <c r="G228" s="6">
        <v>104</v>
      </c>
      <c r="H228" s="6">
        <v>215.8</v>
      </c>
      <c r="J228" s="36">
        <f t="shared" si="26"/>
        <v>0.15</v>
      </c>
      <c r="K228" s="6">
        <f t="shared" si="24"/>
        <v>4</v>
      </c>
      <c r="L228" s="6">
        <f t="shared" si="25"/>
        <v>208.8</v>
      </c>
      <c r="M228" s="36">
        <f t="shared" si="27"/>
        <v>0.04</v>
      </c>
      <c r="N228" s="82">
        <f t="shared" si="28"/>
        <v>0</v>
      </c>
      <c r="O228" s="82">
        <f t="shared" si="29"/>
        <v>0</v>
      </c>
    </row>
    <row r="229" spans="3:15" hidden="1" x14ac:dyDescent="0.35">
      <c r="C229" s="82">
        <v>7</v>
      </c>
      <c r="D229" s="36">
        <v>0.25</v>
      </c>
      <c r="E229" s="6">
        <v>100</v>
      </c>
      <c r="F229" s="6">
        <v>115</v>
      </c>
      <c r="G229" s="6">
        <v>105</v>
      </c>
      <c r="H229" s="6">
        <v>254.8</v>
      </c>
      <c r="J229" s="36">
        <f t="shared" si="26"/>
        <v>0.15</v>
      </c>
      <c r="K229" s="6">
        <f t="shared" si="24"/>
        <v>5</v>
      </c>
      <c r="L229" s="6">
        <f t="shared" si="25"/>
        <v>247.8</v>
      </c>
      <c r="M229" s="36">
        <f t="shared" si="27"/>
        <v>0.05</v>
      </c>
      <c r="N229" s="82">
        <f t="shared" si="28"/>
        <v>0</v>
      </c>
      <c r="O229" s="82">
        <f t="shared" si="29"/>
        <v>0</v>
      </c>
    </row>
    <row r="230" spans="3:15" hidden="1" x14ac:dyDescent="0.35">
      <c r="C230" s="82">
        <v>7</v>
      </c>
      <c r="D230" s="36">
        <v>0.25</v>
      </c>
      <c r="E230" s="6">
        <v>100</v>
      </c>
      <c r="F230" s="6">
        <v>115</v>
      </c>
      <c r="G230" s="6">
        <v>106</v>
      </c>
      <c r="H230" s="6">
        <v>293.3</v>
      </c>
      <c r="J230" s="36">
        <f t="shared" si="26"/>
        <v>0.15</v>
      </c>
      <c r="K230" s="6">
        <f t="shared" si="24"/>
        <v>6</v>
      </c>
      <c r="L230" s="6">
        <f t="shared" si="25"/>
        <v>286.3</v>
      </c>
      <c r="M230" s="36">
        <f t="shared" si="27"/>
        <v>0.06</v>
      </c>
      <c r="N230" s="82">
        <f t="shared" si="28"/>
        <v>0</v>
      </c>
      <c r="O230" s="82">
        <f t="shared" si="29"/>
        <v>0</v>
      </c>
    </row>
    <row r="231" spans="3:15" hidden="1" x14ac:dyDescent="0.35">
      <c r="C231" s="82">
        <v>7</v>
      </c>
      <c r="D231" s="36">
        <v>0.25</v>
      </c>
      <c r="E231" s="6">
        <v>100</v>
      </c>
      <c r="F231" s="6">
        <v>115</v>
      </c>
      <c r="G231" s="6">
        <v>107</v>
      </c>
      <c r="H231" s="6">
        <v>331.5</v>
      </c>
      <c r="J231" s="36">
        <f t="shared" si="26"/>
        <v>0.15</v>
      </c>
      <c r="K231" s="6">
        <f t="shared" si="24"/>
        <v>7</v>
      </c>
      <c r="L231" s="6">
        <f t="shared" si="25"/>
        <v>324.5</v>
      </c>
      <c r="M231" s="36">
        <f t="shared" si="27"/>
        <v>7.0000000000000007E-2</v>
      </c>
      <c r="N231" s="82">
        <f t="shared" si="28"/>
        <v>0</v>
      </c>
      <c r="O231" s="82">
        <f t="shared" si="29"/>
        <v>0</v>
      </c>
    </row>
    <row r="232" spans="3:15" hidden="1" x14ac:dyDescent="0.35">
      <c r="C232" s="82">
        <v>7</v>
      </c>
      <c r="D232" s="36">
        <v>0.25</v>
      </c>
      <c r="E232" s="6">
        <v>100</v>
      </c>
      <c r="F232" s="6">
        <v>115</v>
      </c>
      <c r="G232" s="6">
        <v>108</v>
      </c>
      <c r="H232" s="6">
        <v>369.3</v>
      </c>
      <c r="J232" s="36">
        <f t="shared" si="26"/>
        <v>0.15</v>
      </c>
      <c r="K232" s="6">
        <f t="shared" si="24"/>
        <v>8</v>
      </c>
      <c r="L232" s="6">
        <f t="shared" si="25"/>
        <v>362.3</v>
      </c>
      <c r="M232" s="36">
        <f t="shared" si="27"/>
        <v>0.08</v>
      </c>
      <c r="N232" s="82">
        <f t="shared" si="28"/>
        <v>0</v>
      </c>
      <c r="O232" s="82">
        <f t="shared" si="29"/>
        <v>0</v>
      </c>
    </row>
    <row r="233" spans="3:15" hidden="1" x14ac:dyDescent="0.35">
      <c r="C233" s="82">
        <v>7</v>
      </c>
      <c r="D233" s="36">
        <v>0.25</v>
      </c>
      <c r="E233" s="6">
        <v>100</v>
      </c>
      <c r="F233" s="6">
        <v>115</v>
      </c>
      <c r="G233" s="6">
        <v>109</v>
      </c>
      <c r="H233" s="6">
        <v>407</v>
      </c>
      <c r="J233" s="36">
        <f t="shared" si="26"/>
        <v>0.15</v>
      </c>
      <c r="K233" s="6">
        <f t="shared" si="24"/>
        <v>9</v>
      </c>
      <c r="L233" s="6">
        <f t="shared" si="25"/>
        <v>400</v>
      </c>
      <c r="M233" s="36">
        <f t="shared" si="27"/>
        <v>0.09</v>
      </c>
      <c r="N233" s="82">
        <f t="shared" si="28"/>
        <v>0</v>
      </c>
      <c r="O233" s="82">
        <f t="shared" si="29"/>
        <v>0</v>
      </c>
    </row>
    <row r="234" spans="3:15" hidden="1" x14ac:dyDescent="0.35">
      <c r="C234" s="82">
        <v>7</v>
      </c>
      <c r="D234" s="36">
        <v>0.25</v>
      </c>
      <c r="E234" s="6">
        <v>100</v>
      </c>
      <c r="F234" s="6">
        <v>115</v>
      </c>
      <c r="G234" s="6">
        <v>110</v>
      </c>
      <c r="H234" s="6">
        <v>444.4</v>
      </c>
      <c r="J234" s="36">
        <f t="shared" si="26"/>
        <v>0.15</v>
      </c>
      <c r="K234" s="6">
        <f t="shared" si="24"/>
        <v>10</v>
      </c>
      <c r="L234" s="6">
        <f t="shared" si="25"/>
        <v>437.4</v>
      </c>
      <c r="M234" s="36">
        <f t="shared" si="27"/>
        <v>0.1</v>
      </c>
      <c r="N234" s="82">
        <f t="shared" si="28"/>
        <v>0</v>
      </c>
      <c r="O234" s="82">
        <f t="shared" si="29"/>
        <v>0</v>
      </c>
    </row>
    <row r="235" spans="3:15" hidden="1" x14ac:dyDescent="0.35">
      <c r="C235" s="82">
        <v>7</v>
      </c>
      <c r="D235" s="36">
        <v>0.25</v>
      </c>
      <c r="E235" s="6">
        <v>100</v>
      </c>
      <c r="F235" s="6">
        <v>115</v>
      </c>
      <c r="G235" s="6">
        <v>115</v>
      </c>
      <c r="H235" s="6">
        <v>630</v>
      </c>
      <c r="J235" s="36">
        <f t="shared" si="26"/>
        <v>0.15</v>
      </c>
      <c r="K235" s="6">
        <f t="shared" si="24"/>
        <v>15</v>
      </c>
      <c r="L235" s="6">
        <f t="shared" si="25"/>
        <v>623</v>
      </c>
      <c r="M235" s="36">
        <f t="shared" si="27"/>
        <v>0.15</v>
      </c>
      <c r="N235" s="82">
        <f t="shared" si="28"/>
        <v>1</v>
      </c>
      <c r="O235" s="82">
        <f t="shared" si="29"/>
        <v>0</v>
      </c>
    </row>
    <row r="236" spans="3:15" hidden="1" x14ac:dyDescent="0.35">
      <c r="C236" s="82">
        <v>7</v>
      </c>
      <c r="D236" s="36">
        <v>0.25</v>
      </c>
      <c r="E236" s="6">
        <v>100</v>
      </c>
      <c r="F236" s="6">
        <v>115</v>
      </c>
      <c r="G236" s="6">
        <v>120</v>
      </c>
      <c r="H236" s="6">
        <v>813</v>
      </c>
      <c r="J236" s="36">
        <f t="shared" si="26"/>
        <v>0.15</v>
      </c>
      <c r="K236" s="6">
        <f t="shared" si="24"/>
        <v>20</v>
      </c>
      <c r="L236" s="6">
        <f t="shared" si="25"/>
        <v>806</v>
      </c>
      <c r="M236" s="36">
        <f t="shared" si="27"/>
        <v>0.2</v>
      </c>
      <c r="N236" s="82">
        <f t="shared" si="28"/>
        <v>0</v>
      </c>
      <c r="O236" s="82">
        <f t="shared" si="29"/>
        <v>0</v>
      </c>
    </row>
    <row r="237" spans="3:15" hidden="1" x14ac:dyDescent="0.35">
      <c r="C237" s="82">
        <v>7</v>
      </c>
      <c r="D237" s="36">
        <v>0.25</v>
      </c>
      <c r="E237" s="6">
        <v>100</v>
      </c>
      <c r="F237" s="6">
        <v>115</v>
      </c>
      <c r="G237" s="6">
        <v>125</v>
      </c>
      <c r="H237" s="6">
        <v>993.6</v>
      </c>
      <c r="J237" s="36">
        <f t="shared" si="26"/>
        <v>0.15</v>
      </c>
      <c r="K237" s="6">
        <f t="shared" si="24"/>
        <v>25</v>
      </c>
      <c r="L237" s="6">
        <f t="shared" si="25"/>
        <v>986.6</v>
      </c>
      <c r="M237" s="36">
        <f t="shared" si="27"/>
        <v>0.25</v>
      </c>
      <c r="N237" s="82">
        <f t="shared" si="28"/>
        <v>0</v>
      </c>
      <c r="O237" s="82">
        <f t="shared" si="29"/>
        <v>0</v>
      </c>
    </row>
    <row r="238" spans="3:15" hidden="1" x14ac:dyDescent="0.35">
      <c r="C238" s="82">
        <v>7</v>
      </c>
      <c r="D238" s="36">
        <v>0.25</v>
      </c>
      <c r="E238" s="6">
        <v>100</v>
      </c>
      <c r="F238" s="6">
        <v>120</v>
      </c>
      <c r="G238" s="6">
        <v>101</v>
      </c>
      <c r="H238" s="6">
        <v>129.5</v>
      </c>
      <c r="J238" s="36">
        <f t="shared" si="26"/>
        <v>0.2</v>
      </c>
      <c r="K238" s="6">
        <f t="shared" si="24"/>
        <v>1</v>
      </c>
      <c r="L238" s="6">
        <f t="shared" si="25"/>
        <v>122.5</v>
      </c>
      <c r="M238" s="36">
        <f t="shared" si="27"/>
        <v>0.01</v>
      </c>
      <c r="N238" s="82">
        <f t="shared" si="28"/>
        <v>0</v>
      </c>
      <c r="O238" s="82">
        <f t="shared" si="29"/>
        <v>0</v>
      </c>
    </row>
    <row r="239" spans="3:15" hidden="1" x14ac:dyDescent="0.35">
      <c r="C239" s="82">
        <v>7</v>
      </c>
      <c r="D239" s="36">
        <v>0.25</v>
      </c>
      <c r="E239" s="6">
        <v>100</v>
      </c>
      <c r="F239" s="6">
        <v>120</v>
      </c>
      <c r="G239" s="6">
        <v>102</v>
      </c>
      <c r="H239" s="6">
        <v>190.4</v>
      </c>
      <c r="J239" s="36">
        <f t="shared" si="26"/>
        <v>0.2</v>
      </c>
      <c r="K239" s="6">
        <f t="shared" si="24"/>
        <v>2</v>
      </c>
      <c r="L239" s="6">
        <f t="shared" si="25"/>
        <v>183.4</v>
      </c>
      <c r="M239" s="36">
        <f t="shared" si="27"/>
        <v>0.02</v>
      </c>
      <c r="N239" s="82">
        <f t="shared" si="28"/>
        <v>0</v>
      </c>
      <c r="O239" s="82">
        <f t="shared" si="29"/>
        <v>0</v>
      </c>
    </row>
    <row r="240" spans="3:15" hidden="1" x14ac:dyDescent="0.35">
      <c r="C240" s="82">
        <v>7</v>
      </c>
      <c r="D240" s="36">
        <v>0.25</v>
      </c>
      <c r="E240" s="6">
        <v>100</v>
      </c>
      <c r="F240" s="6">
        <v>120</v>
      </c>
      <c r="G240" s="6">
        <v>103</v>
      </c>
      <c r="H240" s="6">
        <v>245.1</v>
      </c>
      <c r="J240" s="36">
        <f t="shared" si="26"/>
        <v>0.2</v>
      </c>
      <c r="K240" s="6">
        <f t="shared" si="24"/>
        <v>3</v>
      </c>
      <c r="L240" s="6">
        <f t="shared" si="25"/>
        <v>238.1</v>
      </c>
      <c r="M240" s="36">
        <f t="shared" si="27"/>
        <v>0.03</v>
      </c>
      <c r="N240" s="82">
        <f t="shared" si="28"/>
        <v>0</v>
      </c>
      <c r="O240" s="82">
        <f t="shared" si="29"/>
        <v>0</v>
      </c>
    </row>
    <row r="241" spans="3:15" hidden="1" x14ac:dyDescent="0.35">
      <c r="C241" s="82">
        <v>7</v>
      </c>
      <c r="D241" s="36">
        <v>0.25</v>
      </c>
      <c r="E241" s="6">
        <v>100</v>
      </c>
      <c r="F241" s="6">
        <v>120</v>
      </c>
      <c r="G241" s="6">
        <v>104</v>
      </c>
      <c r="H241" s="6">
        <v>296.89999999999998</v>
      </c>
      <c r="J241" s="36">
        <f t="shared" si="26"/>
        <v>0.2</v>
      </c>
      <c r="K241" s="6">
        <f t="shared" si="24"/>
        <v>4</v>
      </c>
      <c r="L241" s="6">
        <f t="shared" si="25"/>
        <v>289.89999999999998</v>
      </c>
      <c r="M241" s="36">
        <f t="shared" si="27"/>
        <v>0.04</v>
      </c>
      <c r="N241" s="82">
        <f t="shared" si="28"/>
        <v>0</v>
      </c>
      <c r="O241" s="82">
        <f t="shared" si="29"/>
        <v>0</v>
      </c>
    </row>
    <row r="242" spans="3:15" hidden="1" x14ac:dyDescent="0.35">
      <c r="C242" s="82">
        <v>7</v>
      </c>
      <c r="D242" s="36">
        <v>0.25</v>
      </c>
      <c r="E242" s="6">
        <v>100</v>
      </c>
      <c r="F242" s="6">
        <v>120</v>
      </c>
      <c r="G242" s="6">
        <v>105</v>
      </c>
      <c r="H242" s="6">
        <v>347.1</v>
      </c>
      <c r="J242" s="36">
        <f t="shared" si="26"/>
        <v>0.2</v>
      </c>
      <c r="K242" s="6">
        <f t="shared" si="24"/>
        <v>5</v>
      </c>
      <c r="L242" s="6">
        <f t="shared" si="25"/>
        <v>340.1</v>
      </c>
      <c r="M242" s="36">
        <f t="shared" si="27"/>
        <v>0.05</v>
      </c>
      <c r="N242" s="82">
        <f t="shared" si="28"/>
        <v>0</v>
      </c>
      <c r="O242" s="82">
        <f t="shared" si="29"/>
        <v>0</v>
      </c>
    </row>
    <row r="243" spans="3:15" hidden="1" x14ac:dyDescent="0.35">
      <c r="C243" s="82">
        <v>7</v>
      </c>
      <c r="D243" s="36">
        <v>0.25</v>
      </c>
      <c r="E243" s="6">
        <v>100</v>
      </c>
      <c r="F243" s="6">
        <v>120</v>
      </c>
      <c r="G243" s="6">
        <v>106</v>
      </c>
      <c r="H243" s="6">
        <v>396</v>
      </c>
      <c r="J243" s="36">
        <f t="shared" si="26"/>
        <v>0.2</v>
      </c>
      <c r="K243" s="6">
        <f t="shared" si="24"/>
        <v>6</v>
      </c>
      <c r="L243" s="6">
        <f t="shared" si="25"/>
        <v>389</v>
      </c>
      <c r="M243" s="36">
        <f t="shared" si="27"/>
        <v>0.06</v>
      </c>
      <c r="N243" s="82">
        <f t="shared" si="28"/>
        <v>0</v>
      </c>
      <c r="O243" s="82">
        <f t="shared" si="29"/>
        <v>0</v>
      </c>
    </row>
    <row r="244" spans="3:15" hidden="1" x14ac:dyDescent="0.35">
      <c r="C244" s="82">
        <v>7</v>
      </c>
      <c r="D244" s="36">
        <v>0.25</v>
      </c>
      <c r="E244" s="6">
        <v>100</v>
      </c>
      <c r="F244" s="6">
        <v>120</v>
      </c>
      <c r="G244" s="6">
        <v>107</v>
      </c>
      <c r="H244" s="6">
        <v>444.2</v>
      </c>
      <c r="J244" s="36">
        <f t="shared" si="26"/>
        <v>0.2</v>
      </c>
      <c r="K244" s="6">
        <f t="shared" si="24"/>
        <v>7</v>
      </c>
      <c r="L244" s="6">
        <f t="shared" si="25"/>
        <v>437.2</v>
      </c>
      <c r="M244" s="36">
        <f t="shared" si="27"/>
        <v>7.0000000000000007E-2</v>
      </c>
      <c r="N244" s="82">
        <f t="shared" si="28"/>
        <v>0</v>
      </c>
      <c r="O244" s="82">
        <f t="shared" si="29"/>
        <v>0</v>
      </c>
    </row>
    <row r="245" spans="3:15" hidden="1" x14ac:dyDescent="0.35">
      <c r="C245" s="82">
        <v>7</v>
      </c>
      <c r="D245" s="36">
        <v>0.25</v>
      </c>
      <c r="E245" s="6">
        <v>100</v>
      </c>
      <c r="F245" s="6">
        <v>120</v>
      </c>
      <c r="G245" s="6">
        <v>108</v>
      </c>
      <c r="H245" s="6">
        <v>491.7</v>
      </c>
      <c r="J245" s="36">
        <f t="shared" si="26"/>
        <v>0.2</v>
      </c>
      <c r="K245" s="6">
        <f t="shared" si="24"/>
        <v>8</v>
      </c>
      <c r="L245" s="6">
        <f t="shared" si="25"/>
        <v>484.7</v>
      </c>
      <c r="M245" s="36">
        <f t="shared" si="27"/>
        <v>0.08</v>
      </c>
      <c r="N245" s="82">
        <f t="shared" si="28"/>
        <v>0</v>
      </c>
      <c r="O245" s="82">
        <f t="shared" si="29"/>
        <v>0</v>
      </c>
    </row>
    <row r="246" spans="3:15" hidden="1" x14ac:dyDescent="0.35">
      <c r="C246" s="82">
        <v>7</v>
      </c>
      <c r="D246" s="36">
        <v>0.25</v>
      </c>
      <c r="E246" s="6">
        <v>100</v>
      </c>
      <c r="F246" s="6">
        <v>120</v>
      </c>
      <c r="G246" s="6">
        <v>109</v>
      </c>
      <c r="H246" s="6">
        <v>538.70000000000005</v>
      </c>
      <c r="J246" s="36">
        <f t="shared" si="26"/>
        <v>0.2</v>
      </c>
      <c r="K246" s="6">
        <f t="shared" si="24"/>
        <v>9</v>
      </c>
      <c r="L246" s="6">
        <f t="shared" si="25"/>
        <v>531.70000000000005</v>
      </c>
      <c r="M246" s="36">
        <f t="shared" si="27"/>
        <v>0.09</v>
      </c>
      <c r="N246" s="82">
        <f t="shared" si="28"/>
        <v>0</v>
      </c>
      <c r="O246" s="82">
        <f t="shared" si="29"/>
        <v>0</v>
      </c>
    </row>
    <row r="247" spans="3:15" hidden="1" x14ac:dyDescent="0.35">
      <c r="C247" s="82">
        <v>7</v>
      </c>
      <c r="D247" s="36">
        <v>0.25</v>
      </c>
      <c r="E247" s="6">
        <v>100</v>
      </c>
      <c r="F247" s="6">
        <v>120</v>
      </c>
      <c r="G247" s="6">
        <v>110</v>
      </c>
      <c r="H247" s="6">
        <v>585.20000000000005</v>
      </c>
      <c r="J247" s="36">
        <f t="shared" si="26"/>
        <v>0.2</v>
      </c>
      <c r="K247" s="6">
        <f t="shared" si="24"/>
        <v>10</v>
      </c>
      <c r="L247" s="6">
        <f t="shared" si="25"/>
        <v>578.20000000000005</v>
      </c>
      <c r="M247" s="36">
        <f t="shared" si="27"/>
        <v>0.1</v>
      </c>
      <c r="N247" s="82">
        <f t="shared" si="28"/>
        <v>0</v>
      </c>
      <c r="O247" s="82">
        <f t="shared" si="29"/>
        <v>0</v>
      </c>
    </row>
    <row r="248" spans="3:15" hidden="1" x14ac:dyDescent="0.35">
      <c r="C248" s="82">
        <v>7</v>
      </c>
      <c r="D248" s="36">
        <v>0.25</v>
      </c>
      <c r="E248" s="6">
        <v>100</v>
      </c>
      <c r="F248" s="6">
        <v>120</v>
      </c>
      <c r="G248" s="6">
        <v>115</v>
      </c>
      <c r="H248" s="6">
        <v>813</v>
      </c>
      <c r="J248" s="36">
        <f t="shared" si="26"/>
        <v>0.2</v>
      </c>
      <c r="K248" s="6">
        <f t="shared" si="24"/>
        <v>15</v>
      </c>
      <c r="L248" s="6">
        <f t="shared" si="25"/>
        <v>806</v>
      </c>
      <c r="M248" s="36">
        <f t="shared" si="27"/>
        <v>0.15</v>
      </c>
      <c r="N248" s="82">
        <f t="shared" si="28"/>
        <v>0</v>
      </c>
      <c r="O248" s="82">
        <f t="shared" si="29"/>
        <v>0</v>
      </c>
    </row>
    <row r="249" spans="3:15" hidden="1" x14ac:dyDescent="0.35">
      <c r="C249" s="82">
        <v>7</v>
      </c>
      <c r="D249" s="36">
        <v>0.25</v>
      </c>
      <c r="E249" s="6">
        <v>100</v>
      </c>
      <c r="F249" s="6">
        <v>120</v>
      </c>
      <c r="G249" s="6">
        <v>120</v>
      </c>
      <c r="H249" s="6">
        <v>1034.4000000000001</v>
      </c>
      <c r="J249" s="36">
        <f t="shared" si="26"/>
        <v>0.2</v>
      </c>
      <c r="K249" s="6">
        <f t="shared" si="24"/>
        <v>20</v>
      </c>
      <c r="L249" s="6">
        <f t="shared" si="25"/>
        <v>1027.4000000000001</v>
      </c>
      <c r="M249" s="36">
        <f t="shared" si="27"/>
        <v>0.2</v>
      </c>
      <c r="N249" s="82">
        <f t="shared" si="28"/>
        <v>1</v>
      </c>
      <c r="O249" s="82">
        <f t="shared" si="29"/>
        <v>0</v>
      </c>
    </row>
    <row r="250" spans="3:15" hidden="1" x14ac:dyDescent="0.35">
      <c r="C250" s="82">
        <v>7</v>
      </c>
      <c r="D250" s="36">
        <v>0.25</v>
      </c>
      <c r="E250" s="6">
        <v>100</v>
      </c>
      <c r="F250" s="6">
        <v>120</v>
      </c>
      <c r="G250" s="6">
        <v>125</v>
      </c>
      <c r="H250" s="6">
        <v>1250.5999999999999</v>
      </c>
      <c r="J250" s="36">
        <f t="shared" si="26"/>
        <v>0.2</v>
      </c>
      <c r="K250" s="6">
        <f t="shared" si="24"/>
        <v>25</v>
      </c>
      <c r="L250" s="6">
        <f t="shared" si="25"/>
        <v>1243.5999999999999</v>
      </c>
      <c r="M250" s="36">
        <f t="shared" si="27"/>
        <v>0.25</v>
      </c>
      <c r="N250" s="82">
        <f t="shared" si="28"/>
        <v>0</v>
      </c>
      <c r="O250" s="82">
        <f t="shared" si="29"/>
        <v>0</v>
      </c>
    </row>
    <row r="251" spans="3:15" hidden="1" x14ac:dyDescent="0.35">
      <c r="C251" s="82">
        <v>14</v>
      </c>
      <c r="D251" s="36">
        <v>0.25</v>
      </c>
      <c r="E251" s="6">
        <v>100</v>
      </c>
      <c r="F251" s="6">
        <v>100</v>
      </c>
      <c r="G251" s="6">
        <v>101</v>
      </c>
      <c r="H251" s="6">
        <v>21.3</v>
      </c>
      <c r="J251" s="36">
        <f t="shared" si="26"/>
        <v>0</v>
      </c>
      <c r="K251" s="6">
        <f>G251-E251</f>
        <v>1</v>
      </c>
      <c r="L251" s="6">
        <f>H251-C251</f>
        <v>7.3000000000000007</v>
      </c>
      <c r="M251" s="36">
        <f t="shared" si="27"/>
        <v>0.01</v>
      </c>
      <c r="N251" s="82">
        <f t="shared" si="28"/>
        <v>0</v>
      </c>
      <c r="O251" s="82">
        <f t="shared" si="29"/>
        <v>0</v>
      </c>
    </row>
    <row r="252" spans="3:15" hidden="1" x14ac:dyDescent="0.35">
      <c r="C252" s="82">
        <v>14</v>
      </c>
      <c r="D252" s="36">
        <v>0.25</v>
      </c>
      <c r="E252" s="6">
        <v>100</v>
      </c>
      <c r="F252" s="6">
        <v>100</v>
      </c>
      <c r="G252" s="6">
        <v>102</v>
      </c>
      <c r="H252" s="6">
        <v>29.1</v>
      </c>
      <c r="J252" s="36">
        <f t="shared" si="26"/>
        <v>0</v>
      </c>
      <c r="K252" s="6">
        <f>G252-E252</f>
        <v>2</v>
      </c>
      <c r="L252" s="6">
        <f>H252-C252</f>
        <v>15.100000000000001</v>
      </c>
      <c r="M252" s="36">
        <f t="shared" si="27"/>
        <v>0.02</v>
      </c>
      <c r="N252" s="82">
        <f t="shared" si="28"/>
        <v>0</v>
      </c>
      <c r="O252" s="82">
        <f t="shared" si="29"/>
        <v>0</v>
      </c>
    </row>
    <row r="253" spans="3:15" hidden="1" x14ac:dyDescent="0.35">
      <c r="C253" s="82">
        <v>14</v>
      </c>
      <c r="D253" s="36">
        <v>0.25</v>
      </c>
      <c r="E253" s="6">
        <v>100</v>
      </c>
      <c r="F253" s="6">
        <v>100</v>
      </c>
      <c r="G253" s="6">
        <v>103</v>
      </c>
      <c r="H253" s="6">
        <v>37.299999999999997</v>
      </c>
      <c r="J253" s="36">
        <f t="shared" si="26"/>
        <v>0</v>
      </c>
      <c r="K253" s="6">
        <f>G253-E253</f>
        <v>3</v>
      </c>
      <c r="L253" s="6">
        <f>H253-C253</f>
        <v>23.299999999999997</v>
      </c>
      <c r="M253" s="36">
        <f t="shared" si="27"/>
        <v>0.03</v>
      </c>
      <c r="N253" s="82">
        <f t="shared" si="28"/>
        <v>0</v>
      </c>
      <c r="O253" s="82">
        <f t="shared" si="29"/>
        <v>0</v>
      </c>
    </row>
    <row r="254" spans="3:15" hidden="1" x14ac:dyDescent="0.35">
      <c r="C254" s="82">
        <v>14</v>
      </c>
      <c r="D254" s="36">
        <v>0.25</v>
      </c>
      <c r="E254" s="6">
        <v>100</v>
      </c>
      <c r="F254" s="6">
        <v>100</v>
      </c>
      <c r="G254" s="6">
        <v>104</v>
      </c>
      <c r="H254" s="6">
        <v>45.9</v>
      </c>
      <c r="J254" s="36">
        <f t="shared" si="26"/>
        <v>0</v>
      </c>
      <c r="K254" s="6">
        <f t="shared" ref="K254:K317" si="30">G254-E254</f>
        <v>4</v>
      </c>
      <c r="L254" s="6">
        <f t="shared" ref="L254:L317" si="31">H254-C254</f>
        <v>31.9</v>
      </c>
      <c r="M254" s="36">
        <f t="shared" si="27"/>
        <v>0.04</v>
      </c>
      <c r="N254" s="82">
        <f t="shared" si="28"/>
        <v>0</v>
      </c>
      <c r="O254" s="82">
        <f t="shared" si="29"/>
        <v>0</v>
      </c>
    </row>
    <row r="255" spans="3:15" hidden="1" x14ac:dyDescent="0.35">
      <c r="C255" s="82">
        <v>14</v>
      </c>
      <c r="D255" s="36">
        <v>0.25</v>
      </c>
      <c r="E255" s="6">
        <v>100</v>
      </c>
      <c r="F255" s="6">
        <v>100</v>
      </c>
      <c r="G255" s="6">
        <v>105</v>
      </c>
      <c r="H255" s="6">
        <v>54.9</v>
      </c>
      <c r="J255" s="36">
        <f t="shared" si="26"/>
        <v>0</v>
      </c>
      <c r="K255" s="6">
        <f t="shared" si="30"/>
        <v>5</v>
      </c>
      <c r="L255" s="6">
        <f t="shared" si="31"/>
        <v>40.9</v>
      </c>
      <c r="M255" s="36">
        <f t="shared" si="27"/>
        <v>0.05</v>
      </c>
      <c r="N255" s="82">
        <f t="shared" si="28"/>
        <v>0</v>
      </c>
      <c r="O255" s="82">
        <f t="shared" si="29"/>
        <v>0</v>
      </c>
    </row>
    <row r="256" spans="3:15" hidden="1" x14ac:dyDescent="0.35">
      <c r="C256" s="82">
        <v>14</v>
      </c>
      <c r="D256" s="36">
        <v>0.25</v>
      </c>
      <c r="E256" s="6">
        <v>100</v>
      </c>
      <c r="F256" s="6">
        <v>100</v>
      </c>
      <c r="G256" s="6">
        <v>106</v>
      </c>
      <c r="H256" s="6">
        <v>64.2</v>
      </c>
      <c r="J256" s="36">
        <f t="shared" si="26"/>
        <v>0</v>
      </c>
      <c r="K256" s="6">
        <f t="shared" si="30"/>
        <v>6</v>
      </c>
      <c r="L256" s="6">
        <f t="shared" si="31"/>
        <v>50.2</v>
      </c>
      <c r="M256" s="36">
        <f t="shared" si="27"/>
        <v>0.06</v>
      </c>
      <c r="N256" s="82">
        <f t="shared" si="28"/>
        <v>0</v>
      </c>
      <c r="O256" s="82">
        <f t="shared" si="29"/>
        <v>0</v>
      </c>
    </row>
    <row r="257" spans="3:15" hidden="1" x14ac:dyDescent="0.35">
      <c r="C257" s="82">
        <v>14</v>
      </c>
      <c r="D257" s="36">
        <v>0.25</v>
      </c>
      <c r="E257" s="6">
        <v>100</v>
      </c>
      <c r="F257" s="6">
        <v>100</v>
      </c>
      <c r="G257" s="6">
        <v>107</v>
      </c>
      <c r="H257" s="6">
        <v>73.8</v>
      </c>
      <c r="J257" s="36">
        <f t="shared" si="26"/>
        <v>0</v>
      </c>
      <c r="K257" s="6">
        <f t="shared" si="30"/>
        <v>7</v>
      </c>
      <c r="L257" s="6">
        <f t="shared" si="31"/>
        <v>59.8</v>
      </c>
      <c r="M257" s="36">
        <f t="shared" si="27"/>
        <v>7.0000000000000007E-2</v>
      </c>
      <c r="N257" s="82">
        <f t="shared" si="28"/>
        <v>0</v>
      </c>
      <c r="O257" s="82">
        <f t="shared" si="29"/>
        <v>0</v>
      </c>
    </row>
    <row r="258" spans="3:15" hidden="1" x14ac:dyDescent="0.35">
      <c r="C258" s="82">
        <v>14</v>
      </c>
      <c r="D258" s="36">
        <v>0.25</v>
      </c>
      <c r="E258" s="6">
        <v>100</v>
      </c>
      <c r="F258" s="6">
        <v>100</v>
      </c>
      <c r="G258" s="6">
        <v>108</v>
      </c>
      <c r="H258" s="6">
        <v>83.7</v>
      </c>
      <c r="J258" s="36">
        <f t="shared" si="26"/>
        <v>0</v>
      </c>
      <c r="K258" s="6">
        <f t="shared" si="30"/>
        <v>8</v>
      </c>
      <c r="L258" s="6">
        <f t="shared" si="31"/>
        <v>69.7</v>
      </c>
      <c r="M258" s="36">
        <f t="shared" si="27"/>
        <v>0.08</v>
      </c>
      <c r="N258" s="82">
        <f t="shared" si="28"/>
        <v>0</v>
      </c>
      <c r="O258" s="82">
        <f t="shared" si="29"/>
        <v>0</v>
      </c>
    </row>
    <row r="259" spans="3:15" hidden="1" x14ac:dyDescent="0.35">
      <c r="C259" s="82">
        <v>14</v>
      </c>
      <c r="D259" s="36">
        <v>0.25</v>
      </c>
      <c r="E259" s="6">
        <v>100</v>
      </c>
      <c r="F259" s="6">
        <v>100</v>
      </c>
      <c r="G259" s="6">
        <v>109</v>
      </c>
      <c r="H259" s="6">
        <v>93.8</v>
      </c>
      <c r="J259" s="36">
        <f t="shared" si="26"/>
        <v>0</v>
      </c>
      <c r="K259" s="6">
        <f t="shared" si="30"/>
        <v>9</v>
      </c>
      <c r="L259" s="6">
        <f t="shared" si="31"/>
        <v>79.8</v>
      </c>
      <c r="M259" s="36">
        <f t="shared" si="27"/>
        <v>0.09</v>
      </c>
      <c r="N259" s="82">
        <f t="shared" si="28"/>
        <v>0</v>
      </c>
      <c r="O259" s="82">
        <f t="shared" si="29"/>
        <v>0</v>
      </c>
    </row>
    <row r="260" spans="3:15" hidden="1" x14ac:dyDescent="0.35">
      <c r="C260" s="82">
        <v>14</v>
      </c>
      <c r="D260" s="36">
        <v>0.25</v>
      </c>
      <c r="E260" s="6">
        <v>100</v>
      </c>
      <c r="F260" s="6">
        <v>100</v>
      </c>
      <c r="G260" s="6">
        <v>110</v>
      </c>
      <c r="H260" s="6">
        <v>104.2</v>
      </c>
      <c r="J260" s="36">
        <f t="shared" si="26"/>
        <v>0</v>
      </c>
      <c r="K260" s="6">
        <f t="shared" si="30"/>
        <v>10</v>
      </c>
      <c r="L260" s="6">
        <f t="shared" si="31"/>
        <v>90.2</v>
      </c>
      <c r="M260" s="36">
        <f t="shared" si="27"/>
        <v>0.1</v>
      </c>
      <c r="N260" s="82">
        <f t="shared" si="28"/>
        <v>0</v>
      </c>
      <c r="O260" s="82">
        <f t="shared" si="29"/>
        <v>0</v>
      </c>
    </row>
    <row r="261" spans="3:15" hidden="1" x14ac:dyDescent="0.35">
      <c r="C261" s="82">
        <v>14</v>
      </c>
      <c r="D261" s="36">
        <v>0.25</v>
      </c>
      <c r="E261" s="6">
        <v>100</v>
      </c>
      <c r="F261" s="6">
        <v>100</v>
      </c>
      <c r="G261" s="6">
        <v>115</v>
      </c>
      <c r="H261" s="6">
        <v>159.1</v>
      </c>
      <c r="J261" s="36">
        <f t="shared" si="26"/>
        <v>0</v>
      </c>
      <c r="K261" s="6">
        <f t="shared" si="30"/>
        <v>15</v>
      </c>
      <c r="L261" s="6">
        <f t="shared" si="31"/>
        <v>145.1</v>
      </c>
      <c r="M261" s="36">
        <f t="shared" si="27"/>
        <v>0.15</v>
      </c>
      <c r="N261" s="82">
        <f t="shared" si="28"/>
        <v>0</v>
      </c>
      <c r="O261" s="82">
        <f t="shared" si="29"/>
        <v>0</v>
      </c>
    </row>
    <row r="262" spans="3:15" hidden="1" x14ac:dyDescent="0.35">
      <c r="C262" s="82">
        <v>14</v>
      </c>
      <c r="D262" s="36">
        <v>0.25</v>
      </c>
      <c r="E262" s="6">
        <v>100</v>
      </c>
      <c r="F262" s="6">
        <v>100</v>
      </c>
      <c r="G262" s="6">
        <v>120</v>
      </c>
      <c r="H262" s="6">
        <v>217.9</v>
      </c>
      <c r="J262" s="36">
        <f t="shared" si="26"/>
        <v>0</v>
      </c>
      <c r="K262" s="6">
        <f t="shared" si="30"/>
        <v>20</v>
      </c>
      <c r="L262" s="6">
        <f t="shared" si="31"/>
        <v>203.9</v>
      </c>
      <c r="M262" s="36">
        <f t="shared" si="27"/>
        <v>0.2</v>
      </c>
      <c r="N262" s="82">
        <f t="shared" si="28"/>
        <v>0</v>
      </c>
      <c r="O262" s="82">
        <f t="shared" si="29"/>
        <v>0</v>
      </c>
    </row>
    <row r="263" spans="3:15" hidden="1" x14ac:dyDescent="0.35">
      <c r="C263" s="82">
        <v>14</v>
      </c>
      <c r="D263" s="36">
        <v>0.25</v>
      </c>
      <c r="E263" s="6">
        <v>100</v>
      </c>
      <c r="F263" s="6">
        <v>100</v>
      </c>
      <c r="G263" s="6">
        <v>125</v>
      </c>
      <c r="H263" s="6">
        <v>279.5</v>
      </c>
      <c r="J263" s="36">
        <f t="shared" si="26"/>
        <v>0</v>
      </c>
      <c r="K263" s="6">
        <f t="shared" si="30"/>
        <v>25</v>
      </c>
      <c r="L263" s="6">
        <f t="shared" si="31"/>
        <v>265.5</v>
      </c>
      <c r="M263" s="36">
        <f t="shared" si="27"/>
        <v>0.25</v>
      </c>
      <c r="N263" s="82">
        <f t="shared" si="28"/>
        <v>0</v>
      </c>
      <c r="O263" s="82">
        <f t="shared" si="29"/>
        <v>0</v>
      </c>
    </row>
    <row r="264" spans="3:15" hidden="1" x14ac:dyDescent="0.35">
      <c r="C264" s="82">
        <v>14</v>
      </c>
      <c r="D264" s="36">
        <v>0.25</v>
      </c>
      <c r="E264" s="6">
        <v>100</v>
      </c>
      <c r="F264" s="6">
        <v>101</v>
      </c>
      <c r="G264" s="6">
        <v>101</v>
      </c>
      <c r="H264" s="6">
        <v>22.6</v>
      </c>
      <c r="J264" s="36">
        <f t="shared" si="26"/>
        <v>0.01</v>
      </c>
      <c r="K264" s="6">
        <f t="shared" si="30"/>
        <v>1</v>
      </c>
      <c r="L264" s="6">
        <f t="shared" si="31"/>
        <v>8.6000000000000014</v>
      </c>
      <c r="M264" s="36">
        <f t="shared" si="27"/>
        <v>0.01</v>
      </c>
      <c r="N264" s="82">
        <f t="shared" si="28"/>
        <v>1</v>
      </c>
      <c r="O264" s="82">
        <f t="shared" si="29"/>
        <v>0</v>
      </c>
    </row>
    <row r="265" spans="3:15" hidden="1" x14ac:dyDescent="0.35">
      <c r="C265" s="82">
        <v>14</v>
      </c>
      <c r="D265" s="36">
        <v>0.25</v>
      </c>
      <c r="E265" s="6">
        <v>100</v>
      </c>
      <c r="F265" s="6">
        <v>101</v>
      </c>
      <c r="G265" s="6">
        <v>102</v>
      </c>
      <c r="H265" s="6">
        <v>31.6</v>
      </c>
      <c r="J265" s="36">
        <f t="shared" si="26"/>
        <v>0.01</v>
      </c>
      <c r="K265" s="6">
        <f t="shared" si="30"/>
        <v>2</v>
      </c>
      <c r="L265" s="6">
        <f t="shared" si="31"/>
        <v>17.600000000000001</v>
      </c>
      <c r="M265" s="36">
        <f t="shared" si="27"/>
        <v>0.02</v>
      </c>
      <c r="N265" s="82">
        <f t="shared" si="28"/>
        <v>0</v>
      </c>
      <c r="O265" s="82">
        <f t="shared" si="29"/>
        <v>1</v>
      </c>
    </row>
    <row r="266" spans="3:15" hidden="1" x14ac:dyDescent="0.35">
      <c r="C266" s="82">
        <v>14</v>
      </c>
      <c r="D266" s="36">
        <v>0.25</v>
      </c>
      <c r="E266" s="6">
        <v>100</v>
      </c>
      <c r="F266" s="6">
        <v>101</v>
      </c>
      <c r="G266" s="6">
        <v>103</v>
      </c>
      <c r="H266" s="6">
        <v>41.1</v>
      </c>
      <c r="J266" s="36">
        <f t="shared" si="26"/>
        <v>0.01</v>
      </c>
      <c r="K266" s="6">
        <f t="shared" si="30"/>
        <v>3</v>
      </c>
      <c r="L266" s="6">
        <f t="shared" si="31"/>
        <v>27.1</v>
      </c>
      <c r="M266" s="36">
        <f t="shared" si="27"/>
        <v>0.03</v>
      </c>
      <c r="N266" s="82">
        <f t="shared" si="28"/>
        <v>0</v>
      </c>
      <c r="O266" s="82">
        <f t="shared" si="29"/>
        <v>0</v>
      </c>
    </row>
    <row r="267" spans="3:15" hidden="1" x14ac:dyDescent="0.35">
      <c r="C267" s="82">
        <v>14</v>
      </c>
      <c r="D267" s="36">
        <v>0.25</v>
      </c>
      <c r="E267" s="6">
        <v>100</v>
      </c>
      <c r="F267" s="6">
        <v>101</v>
      </c>
      <c r="G267" s="6">
        <v>104</v>
      </c>
      <c r="H267" s="6">
        <v>51</v>
      </c>
      <c r="J267" s="36">
        <f t="shared" si="26"/>
        <v>0.01</v>
      </c>
      <c r="K267" s="6">
        <f t="shared" si="30"/>
        <v>4</v>
      </c>
      <c r="L267" s="6">
        <f t="shared" si="31"/>
        <v>37</v>
      </c>
      <c r="M267" s="36">
        <f t="shared" si="27"/>
        <v>0.04</v>
      </c>
      <c r="N267" s="82">
        <f t="shared" si="28"/>
        <v>0</v>
      </c>
      <c r="O267" s="82">
        <f t="shared" si="29"/>
        <v>0</v>
      </c>
    </row>
    <row r="268" spans="3:15" hidden="1" x14ac:dyDescent="0.35">
      <c r="C268" s="82">
        <v>14</v>
      </c>
      <c r="D268" s="36">
        <v>0.25</v>
      </c>
      <c r="E268" s="6">
        <v>100</v>
      </c>
      <c r="F268" s="6">
        <v>101</v>
      </c>
      <c r="G268" s="6">
        <v>105</v>
      </c>
      <c r="H268" s="6">
        <v>61.2</v>
      </c>
      <c r="J268" s="36">
        <f t="shared" si="26"/>
        <v>0.01</v>
      </c>
      <c r="K268" s="6">
        <f t="shared" si="30"/>
        <v>5</v>
      </c>
      <c r="L268" s="6">
        <f t="shared" si="31"/>
        <v>47.2</v>
      </c>
      <c r="M268" s="36">
        <f t="shared" si="27"/>
        <v>0.05</v>
      </c>
      <c r="N268" s="82">
        <f t="shared" si="28"/>
        <v>0</v>
      </c>
      <c r="O268" s="82">
        <f t="shared" si="29"/>
        <v>0</v>
      </c>
    </row>
    <row r="269" spans="3:15" hidden="1" x14ac:dyDescent="0.35">
      <c r="C269" s="82">
        <v>14</v>
      </c>
      <c r="D269" s="36">
        <v>0.25</v>
      </c>
      <c r="E269" s="6">
        <v>100</v>
      </c>
      <c r="F269" s="6">
        <v>101</v>
      </c>
      <c r="G269" s="6">
        <v>106</v>
      </c>
      <c r="H269" s="6">
        <v>71.900000000000006</v>
      </c>
      <c r="J269" s="36">
        <f t="shared" si="26"/>
        <v>0.01</v>
      </c>
      <c r="K269" s="6">
        <f t="shared" si="30"/>
        <v>6</v>
      </c>
      <c r="L269" s="6">
        <f t="shared" si="31"/>
        <v>57.900000000000006</v>
      </c>
      <c r="M269" s="36">
        <f t="shared" si="27"/>
        <v>0.06</v>
      </c>
      <c r="N269" s="82">
        <f t="shared" si="28"/>
        <v>0</v>
      </c>
      <c r="O269" s="82">
        <f t="shared" si="29"/>
        <v>0</v>
      </c>
    </row>
    <row r="270" spans="3:15" hidden="1" x14ac:dyDescent="0.35">
      <c r="C270" s="82">
        <v>14</v>
      </c>
      <c r="D270" s="36">
        <v>0.25</v>
      </c>
      <c r="E270" s="6">
        <v>100</v>
      </c>
      <c r="F270" s="6">
        <v>101</v>
      </c>
      <c r="G270" s="6">
        <v>107</v>
      </c>
      <c r="H270" s="6">
        <v>82.8</v>
      </c>
      <c r="J270" s="36">
        <f t="shared" si="26"/>
        <v>0.01</v>
      </c>
      <c r="K270" s="6">
        <f t="shared" si="30"/>
        <v>7</v>
      </c>
      <c r="L270" s="6">
        <f t="shared" si="31"/>
        <v>68.8</v>
      </c>
      <c r="M270" s="36">
        <f t="shared" si="27"/>
        <v>7.0000000000000007E-2</v>
      </c>
      <c r="N270" s="82">
        <f t="shared" si="28"/>
        <v>0</v>
      </c>
      <c r="O270" s="82">
        <f t="shared" si="29"/>
        <v>0</v>
      </c>
    </row>
    <row r="271" spans="3:15" hidden="1" x14ac:dyDescent="0.35">
      <c r="C271" s="82">
        <v>14</v>
      </c>
      <c r="D271" s="36">
        <v>0.25</v>
      </c>
      <c r="E271" s="6">
        <v>100</v>
      </c>
      <c r="F271" s="6">
        <v>101</v>
      </c>
      <c r="G271" s="6">
        <v>108</v>
      </c>
      <c r="H271" s="6">
        <v>94</v>
      </c>
      <c r="J271" s="36">
        <f t="shared" si="26"/>
        <v>0.01</v>
      </c>
      <c r="K271" s="6">
        <f t="shared" si="30"/>
        <v>8</v>
      </c>
      <c r="L271" s="6">
        <f t="shared" si="31"/>
        <v>80</v>
      </c>
      <c r="M271" s="36">
        <f t="shared" si="27"/>
        <v>0.08</v>
      </c>
      <c r="N271" s="82">
        <f t="shared" si="28"/>
        <v>0</v>
      </c>
      <c r="O271" s="82">
        <f t="shared" si="29"/>
        <v>0</v>
      </c>
    </row>
    <row r="272" spans="3:15" hidden="1" x14ac:dyDescent="0.35">
      <c r="C272" s="82">
        <v>14</v>
      </c>
      <c r="D272" s="36">
        <v>0.25</v>
      </c>
      <c r="E272" s="6">
        <v>100</v>
      </c>
      <c r="F272" s="6">
        <v>101</v>
      </c>
      <c r="G272" s="6">
        <v>109</v>
      </c>
      <c r="H272" s="6">
        <v>105.5</v>
      </c>
      <c r="J272" s="36">
        <f t="shared" si="26"/>
        <v>0.01</v>
      </c>
      <c r="K272" s="6">
        <f t="shared" si="30"/>
        <v>9</v>
      </c>
      <c r="L272" s="6">
        <f t="shared" si="31"/>
        <v>91.5</v>
      </c>
      <c r="M272" s="36">
        <f t="shared" si="27"/>
        <v>0.09</v>
      </c>
      <c r="N272" s="82">
        <f t="shared" si="28"/>
        <v>0</v>
      </c>
      <c r="O272" s="82">
        <f t="shared" si="29"/>
        <v>0</v>
      </c>
    </row>
    <row r="273" spans="3:15" hidden="1" x14ac:dyDescent="0.35">
      <c r="C273" s="82">
        <v>14</v>
      </c>
      <c r="D273" s="36">
        <v>0.25</v>
      </c>
      <c r="E273" s="6">
        <v>100</v>
      </c>
      <c r="F273" s="6">
        <v>101</v>
      </c>
      <c r="G273" s="6">
        <v>110</v>
      </c>
      <c r="H273" s="6">
        <v>117.2</v>
      </c>
      <c r="J273" s="36">
        <f t="shared" si="26"/>
        <v>0.01</v>
      </c>
      <c r="K273" s="6">
        <f t="shared" si="30"/>
        <v>10</v>
      </c>
      <c r="L273" s="6">
        <f t="shared" si="31"/>
        <v>103.2</v>
      </c>
      <c r="M273" s="36">
        <f t="shared" si="27"/>
        <v>0.1</v>
      </c>
      <c r="N273" s="82">
        <f t="shared" si="28"/>
        <v>0</v>
      </c>
      <c r="O273" s="82">
        <f t="shared" si="29"/>
        <v>0</v>
      </c>
    </row>
    <row r="274" spans="3:15" hidden="1" x14ac:dyDescent="0.35">
      <c r="C274" s="82">
        <v>14</v>
      </c>
      <c r="D274" s="36">
        <v>0.25</v>
      </c>
      <c r="E274" s="6">
        <v>100</v>
      </c>
      <c r="F274" s="6">
        <v>101</v>
      </c>
      <c r="G274" s="6">
        <v>115</v>
      </c>
      <c r="H274" s="6">
        <v>178.9</v>
      </c>
      <c r="J274" s="36">
        <f t="shared" ref="J274:J337" si="32">(F274-E274)/E274</f>
        <v>0.01</v>
      </c>
      <c r="K274" s="6">
        <f t="shared" si="30"/>
        <v>15</v>
      </c>
      <c r="L274" s="6">
        <f t="shared" si="31"/>
        <v>164.9</v>
      </c>
      <c r="M274" s="36">
        <f t="shared" ref="M274:M337" si="33">K274/E274</f>
        <v>0.15</v>
      </c>
      <c r="N274" s="82">
        <f t="shared" ref="N274:N337" si="34">IF(M274=J274,1,0)</f>
        <v>0</v>
      </c>
      <c r="O274" s="82">
        <f t="shared" ref="O274:O337" si="35">IF(J274=0,0,IF(M274/J274=2,1,0))</f>
        <v>0</v>
      </c>
    </row>
    <row r="275" spans="3:15" hidden="1" x14ac:dyDescent="0.35">
      <c r="C275" s="82">
        <v>14</v>
      </c>
      <c r="D275" s="36">
        <v>0.25</v>
      </c>
      <c r="E275" s="6">
        <v>100</v>
      </c>
      <c r="F275" s="6">
        <v>101</v>
      </c>
      <c r="G275" s="6">
        <v>120</v>
      </c>
      <c r="H275" s="6">
        <v>244.5</v>
      </c>
      <c r="J275" s="36">
        <f t="shared" si="32"/>
        <v>0.01</v>
      </c>
      <c r="K275" s="6">
        <f t="shared" si="30"/>
        <v>20</v>
      </c>
      <c r="L275" s="6">
        <f t="shared" si="31"/>
        <v>230.5</v>
      </c>
      <c r="M275" s="36">
        <f t="shared" si="33"/>
        <v>0.2</v>
      </c>
      <c r="N275" s="82">
        <f t="shared" si="34"/>
        <v>0</v>
      </c>
      <c r="O275" s="82">
        <f t="shared" si="35"/>
        <v>0</v>
      </c>
    </row>
    <row r="276" spans="3:15" hidden="1" x14ac:dyDescent="0.35">
      <c r="C276" s="82">
        <v>14</v>
      </c>
      <c r="D276" s="36">
        <v>0.25</v>
      </c>
      <c r="E276" s="6">
        <v>100</v>
      </c>
      <c r="F276" s="6">
        <v>101</v>
      </c>
      <c r="G276" s="6">
        <v>125</v>
      </c>
      <c r="H276" s="6">
        <v>313</v>
      </c>
      <c r="J276" s="36">
        <f t="shared" si="32"/>
        <v>0.01</v>
      </c>
      <c r="K276" s="6">
        <f t="shared" si="30"/>
        <v>25</v>
      </c>
      <c r="L276" s="6">
        <f t="shared" si="31"/>
        <v>299</v>
      </c>
      <c r="M276" s="36">
        <f t="shared" si="33"/>
        <v>0.25</v>
      </c>
      <c r="N276" s="82">
        <f t="shared" si="34"/>
        <v>0</v>
      </c>
      <c r="O276" s="82">
        <f t="shared" si="35"/>
        <v>0</v>
      </c>
    </row>
    <row r="277" spans="3:15" hidden="1" x14ac:dyDescent="0.35">
      <c r="C277" s="82">
        <v>14</v>
      </c>
      <c r="D277" s="36">
        <v>0.25</v>
      </c>
      <c r="E277" s="6">
        <v>100</v>
      </c>
      <c r="F277" s="6">
        <v>102</v>
      </c>
      <c r="G277" s="6">
        <v>101</v>
      </c>
      <c r="H277" s="6">
        <v>24.2</v>
      </c>
      <c r="J277" s="36">
        <f t="shared" si="32"/>
        <v>0.02</v>
      </c>
      <c r="K277" s="6">
        <f t="shared" si="30"/>
        <v>1</v>
      </c>
      <c r="L277" s="6">
        <f t="shared" si="31"/>
        <v>10.199999999999999</v>
      </c>
      <c r="M277" s="36">
        <f t="shared" si="33"/>
        <v>0.01</v>
      </c>
      <c r="N277" s="82">
        <f t="shared" si="34"/>
        <v>0</v>
      </c>
      <c r="O277" s="82">
        <f t="shared" si="35"/>
        <v>0</v>
      </c>
    </row>
    <row r="278" spans="3:15" hidden="1" x14ac:dyDescent="0.35">
      <c r="C278" s="82">
        <v>14</v>
      </c>
      <c r="D278" s="36">
        <v>0.25</v>
      </c>
      <c r="E278" s="6">
        <v>100</v>
      </c>
      <c r="F278" s="6">
        <v>102</v>
      </c>
      <c r="G278" s="6">
        <v>102</v>
      </c>
      <c r="H278" s="6">
        <v>34.700000000000003</v>
      </c>
      <c r="J278" s="36">
        <f t="shared" si="32"/>
        <v>0.02</v>
      </c>
      <c r="K278" s="6">
        <f t="shared" si="30"/>
        <v>2</v>
      </c>
      <c r="L278" s="6">
        <f t="shared" si="31"/>
        <v>20.700000000000003</v>
      </c>
      <c r="M278" s="36">
        <f t="shared" si="33"/>
        <v>0.02</v>
      </c>
      <c r="N278" s="82">
        <f t="shared" si="34"/>
        <v>1</v>
      </c>
      <c r="O278" s="82">
        <f t="shared" si="35"/>
        <v>0</v>
      </c>
    </row>
    <row r="279" spans="3:15" hidden="1" x14ac:dyDescent="0.35">
      <c r="C279" s="82">
        <v>14</v>
      </c>
      <c r="D279" s="36">
        <v>0.25</v>
      </c>
      <c r="E279" s="6">
        <v>100</v>
      </c>
      <c r="F279" s="6">
        <v>102</v>
      </c>
      <c r="G279" s="6">
        <v>103</v>
      </c>
      <c r="H279" s="6">
        <v>45.6</v>
      </c>
      <c r="J279" s="36">
        <f t="shared" si="32"/>
        <v>0.02</v>
      </c>
      <c r="K279" s="6">
        <f t="shared" si="30"/>
        <v>3</v>
      </c>
      <c r="L279" s="6">
        <f t="shared" si="31"/>
        <v>31.6</v>
      </c>
      <c r="M279" s="36">
        <f t="shared" si="33"/>
        <v>0.03</v>
      </c>
      <c r="N279" s="82">
        <f t="shared" si="34"/>
        <v>0</v>
      </c>
      <c r="O279" s="82">
        <f t="shared" si="35"/>
        <v>0</v>
      </c>
    </row>
    <row r="280" spans="3:15" hidden="1" x14ac:dyDescent="0.35">
      <c r="C280" s="82">
        <v>14</v>
      </c>
      <c r="D280" s="36">
        <v>0.25</v>
      </c>
      <c r="E280" s="6">
        <v>100</v>
      </c>
      <c r="F280" s="6">
        <v>102</v>
      </c>
      <c r="G280" s="6">
        <v>104</v>
      </c>
      <c r="H280" s="6">
        <v>56.9</v>
      </c>
      <c r="J280" s="36">
        <f t="shared" si="32"/>
        <v>0.02</v>
      </c>
      <c r="K280" s="6">
        <f t="shared" si="30"/>
        <v>4</v>
      </c>
      <c r="L280" s="6">
        <f t="shared" si="31"/>
        <v>42.9</v>
      </c>
      <c r="M280" s="36">
        <f t="shared" si="33"/>
        <v>0.04</v>
      </c>
      <c r="N280" s="82">
        <f t="shared" si="34"/>
        <v>0</v>
      </c>
      <c r="O280" s="82">
        <f t="shared" si="35"/>
        <v>1</v>
      </c>
    </row>
    <row r="281" spans="3:15" hidden="1" x14ac:dyDescent="0.35">
      <c r="C281" s="82">
        <v>14</v>
      </c>
      <c r="D281" s="36">
        <v>0.25</v>
      </c>
      <c r="E281" s="6">
        <v>100</v>
      </c>
      <c r="F281" s="6">
        <v>102</v>
      </c>
      <c r="G281" s="6">
        <v>105</v>
      </c>
      <c r="H281" s="6">
        <v>68.599999999999994</v>
      </c>
      <c r="J281" s="36">
        <f t="shared" si="32"/>
        <v>0.02</v>
      </c>
      <c r="K281" s="6">
        <f t="shared" si="30"/>
        <v>5</v>
      </c>
      <c r="L281" s="6">
        <f t="shared" si="31"/>
        <v>54.599999999999994</v>
      </c>
      <c r="M281" s="36">
        <f t="shared" si="33"/>
        <v>0.05</v>
      </c>
      <c r="N281" s="82">
        <f t="shared" si="34"/>
        <v>0</v>
      </c>
      <c r="O281" s="82">
        <f t="shared" si="35"/>
        <v>0</v>
      </c>
    </row>
    <row r="282" spans="3:15" hidden="1" x14ac:dyDescent="0.35">
      <c r="C282" s="82">
        <v>14</v>
      </c>
      <c r="D282" s="36">
        <v>0.25</v>
      </c>
      <c r="E282" s="6">
        <v>100</v>
      </c>
      <c r="F282" s="6">
        <v>102</v>
      </c>
      <c r="G282" s="6">
        <v>106</v>
      </c>
      <c r="H282" s="6">
        <v>80.7</v>
      </c>
      <c r="J282" s="36">
        <f t="shared" si="32"/>
        <v>0.02</v>
      </c>
      <c r="K282" s="6">
        <f t="shared" si="30"/>
        <v>6</v>
      </c>
      <c r="L282" s="6">
        <f t="shared" si="31"/>
        <v>66.7</v>
      </c>
      <c r="M282" s="36">
        <f t="shared" si="33"/>
        <v>0.06</v>
      </c>
      <c r="N282" s="82">
        <f t="shared" si="34"/>
        <v>0</v>
      </c>
      <c r="O282" s="82">
        <f t="shared" si="35"/>
        <v>0</v>
      </c>
    </row>
    <row r="283" spans="3:15" hidden="1" x14ac:dyDescent="0.35">
      <c r="C283" s="82">
        <v>14</v>
      </c>
      <c r="D283" s="36">
        <v>0.25</v>
      </c>
      <c r="E283" s="6">
        <v>100</v>
      </c>
      <c r="F283" s="6">
        <v>102</v>
      </c>
      <c r="G283" s="6">
        <v>107</v>
      </c>
      <c r="H283" s="6">
        <v>93.1</v>
      </c>
      <c r="J283" s="36">
        <f t="shared" si="32"/>
        <v>0.02</v>
      </c>
      <c r="K283" s="6">
        <f t="shared" si="30"/>
        <v>7</v>
      </c>
      <c r="L283" s="6">
        <f t="shared" si="31"/>
        <v>79.099999999999994</v>
      </c>
      <c r="M283" s="36">
        <f t="shared" si="33"/>
        <v>7.0000000000000007E-2</v>
      </c>
      <c r="N283" s="82">
        <f t="shared" si="34"/>
        <v>0</v>
      </c>
      <c r="O283" s="82">
        <f t="shared" si="35"/>
        <v>0</v>
      </c>
    </row>
    <row r="284" spans="3:15" hidden="1" x14ac:dyDescent="0.35">
      <c r="C284" s="82">
        <v>14</v>
      </c>
      <c r="D284" s="36">
        <v>0.25</v>
      </c>
      <c r="E284" s="6">
        <v>100</v>
      </c>
      <c r="F284" s="6">
        <v>102</v>
      </c>
      <c r="G284" s="6">
        <v>108</v>
      </c>
      <c r="H284" s="6">
        <v>105.8</v>
      </c>
      <c r="J284" s="36">
        <f t="shared" si="32"/>
        <v>0.02</v>
      </c>
      <c r="K284" s="6">
        <f t="shared" si="30"/>
        <v>8</v>
      </c>
      <c r="L284" s="6">
        <f t="shared" si="31"/>
        <v>91.8</v>
      </c>
      <c r="M284" s="36">
        <f t="shared" si="33"/>
        <v>0.08</v>
      </c>
      <c r="N284" s="82">
        <f t="shared" si="34"/>
        <v>0</v>
      </c>
      <c r="O284" s="82">
        <f t="shared" si="35"/>
        <v>0</v>
      </c>
    </row>
    <row r="285" spans="3:15" hidden="1" x14ac:dyDescent="0.35">
      <c r="C285" s="82">
        <v>14</v>
      </c>
      <c r="D285" s="36">
        <v>0.25</v>
      </c>
      <c r="E285" s="6">
        <v>100</v>
      </c>
      <c r="F285" s="6">
        <v>102</v>
      </c>
      <c r="G285" s="6">
        <v>109</v>
      </c>
      <c r="H285" s="6">
        <v>118.7</v>
      </c>
      <c r="J285" s="36">
        <f t="shared" si="32"/>
        <v>0.02</v>
      </c>
      <c r="K285" s="6">
        <f t="shared" si="30"/>
        <v>9</v>
      </c>
      <c r="L285" s="6">
        <f t="shared" si="31"/>
        <v>104.7</v>
      </c>
      <c r="M285" s="36">
        <f t="shared" si="33"/>
        <v>0.09</v>
      </c>
      <c r="N285" s="82">
        <f t="shared" si="34"/>
        <v>0</v>
      </c>
      <c r="O285" s="82">
        <f t="shared" si="35"/>
        <v>0</v>
      </c>
    </row>
    <row r="286" spans="3:15" hidden="1" x14ac:dyDescent="0.35">
      <c r="C286" s="82">
        <v>14</v>
      </c>
      <c r="D286" s="36">
        <v>0.25</v>
      </c>
      <c r="E286" s="6">
        <v>100</v>
      </c>
      <c r="F286" s="6">
        <v>102</v>
      </c>
      <c r="G286" s="6">
        <v>110</v>
      </c>
      <c r="H286" s="6">
        <v>131.9</v>
      </c>
      <c r="J286" s="36">
        <f t="shared" si="32"/>
        <v>0.02</v>
      </c>
      <c r="K286" s="6">
        <f t="shared" si="30"/>
        <v>10</v>
      </c>
      <c r="L286" s="6">
        <f t="shared" si="31"/>
        <v>117.9</v>
      </c>
      <c r="M286" s="36">
        <f t="shared" si="33"/>
        <v>0.1</v>
      </c>
      <c r="N286" s="82">
        <f t="shared" si="34"/>
        <v>0</v>
      </c>
      <c r="O286" s="82">
        <f t="shared" si="35"/>
        <v>0</v>
      </c>
    </row>
    <row r="287" spans="3:15" hidden="1" x14ac:dyDescent="0.35">
      <c r="C287" s="82">
        <v>14</v>
      </c>
      <c r="D287" s="36">
        <v>0.25</v>
      </c>
      <c r="E287" s="6">
        <v>100</v>
      </c>
      <c r="F287" s="6">
        <v>102</v>
      </c>
      <c r="G287" s="6">
        <v>115</v>
      </c>
      <c r="H287" s="6">
        <v>201</v>
      </c>
      <c r="J287" s="36">
        <f t="shared" si="32"/>
        <v>0.02</v>
      </c>
      <c r="K287" s="6">
        <f t="shared" si="30"/>
        <v>15</v>
      </c>
      <c r="L287" s="6">
        <f t="shared" si="31"/>
        <v>187</v>
      </c>
      <c r="M287" s="36">
        <f t="shared" si="33"/>
        <v>0.15</v>
      </c>
      <c r="N287" s="82">
        <f t="shared" si="34"/>
        <v>0</v>
      </c>
      <c r="O287" s="82">
        <f t="shared" si="35"/>
        <v>0</v>
      </c>
    </row>
    <row r="288" spans="3:15" hidden="1" x14ac:dyDescent="0.35">
      <c r="C288" s="82">
        <v>14</v>
      </c>
      <c r="D288" s="36">
        <v>0.25</v>
      </c>
      <c r="E288" s="6">
        <v>100</v>
      </c>
      <c r="F288" s="6">
        <v>102</v>
      </c>
      <c r="G288" s="6">
        <v>120</v>
      </c>
      <c r="H288" s="6">
        <v>274.10000000000002</v>
      </c>
      <c r="J288" s="36">
        <f t="shared" si="32"/>
        <v>0.02</v>
      </c>
      <c r="K288" s="6">
        <f t="shared" si="30"/>
        <v>20</v>
      </c>
      <c r="L288" s="6">
        <f t="shared" si="31"/>
        <v>260.10000000000002</v>
      </c>
      <c r="M288" s="36">
        <f t="shared" si="33"/>
        <v>0.2</v>
      </c>
      <c r="N288" s="82">
        <f t="shared" si="34"/>
        <v>0</v>
      </c>
      <c r="O288" s="82">
        <f t="shared" si="35"/>
        <v>0</v>
      </c>
    </row>
    <row r="289" spans="3:15" hidden="1" x14ac:dyDescent="0.35">
      <c r="C289" s="82">
        <v>14</v>
      </c>
      <c r="D289" s="36">
        <v>0.25</v>
      </c>
      <c r="E289" s="6">
        <v>100</v>
      </c>
      <c r="F289" s="6">
        <v>102</v>
      </c>
      <c r="G289" s="6">
        <v>125</v>
      </c>
      <c r="H289" s="6">
        <v>349.9</v>
      </c>
      <c r="J289" s="36">
        <f t="shared" si="32"/>
        <v>0.02</v>
      </c>
      <c r="K289" s="6">
        <f t="shared" si="30"/>
        <v>25</v>
      </c>
      <c r="L289" s="6">
        <f t="shared" si="31"/>
        <v>335.9</v>
      </c>
      <c r="M289" s="36">
        <f t="shared" si="33"/>
        <v>0.25</v>
      </c>
      <c r="N289" s="82">
        <f t="shared" si="34"/>
        <v>0</v>
      </c>
      <c r="O289" s="82">
        <f t="shared" si="35"/>
        <v>0</v>
      </c>
    </row>
    <row r="290" spans="3:15" hidden="1" x14ac:dyDescent="0.35">
      <c r="C290" s="82">
        <v>14</v>
      </c>
      <c r="D290" s="36">
        <v>0.25</v>
      </c>
      <c r="E290" s="6">
        <v>100</v>
      </c>
      <c r="F290" s="6">
        <v>103</v>
      </c>
      <c r="G290" s="6">
        <v>101</v>
      </c>
      <c r="H290" s="6">
        <v>26.1</v>
      </c>
      <c r="J290" s="36">
        <f t="shared" si="32"/>
        <v>0.03</v>
      </c>
      <c r="K290" s="6">
        <f t="shared" si="30"/>
        <v>1</v>
      </c>
      <c r="L290" s="6">
        <f t="shared" si="31"/>
        <v>12.100000000000001</v>
      </c>
      <c r="M290" s="36">
        <f t="shared" si="33"/>
        <v>0.01</v>
      </c>
      <c r="N290" s="82">
        <f t="shared" si="34"/>
        <v>0</v>
      </c>
      <c r="O290" s="82">
        <f t="shared" si="35"/>
        <v>0</v>
      </c>
    </row>
    <row r="291" spans="3:15" hidden="1" x14ac:dyDescent="0.35">
      <c r="C291" s="82">
        <v>14</v>
      </c>
      <c r="D291" s="36">
        <v>0.25</v>
      </c>
      <c r="E291" s="6">
        <v>100</v>
      </c>
      <c r="F291" s="6">
        <v>103</v>
      </c>
      <c r="G291" s="6">
        <v>102</v>
      </c>
      <c r="H291" s="6">
        <v>38.299999999999997</v>
      </c>
      <c r="J291" s="36">
        <f t="shared" si="32"/>
        <v>0.03</v>
      </c>
      <c r="K291" s="6">
        <f t="shared" si="30"/>
        <v>2</v>
      </c>
      <c r="L291" s="6">
        <f t="shared" si="31"/>
        <v>24.299999999999997</v>
      </c>
      <c r="M291" s="36">
        <f t="shared" si="33"/>
        <v>0.02</v>
      </c>
      <c r="N291" s="82">
        <f t="shared" si="34"/>
        <v>0</v>
      </c>
      <c r="O291" s="82">
        <f t="shared" si="35"/>
        <v>0</v>
      </c>
    </row>
    <row r="292" spans="3:15" hidden="1" x14ac:dyDescent="0.35">
      <c r="C292" s="82">
        <v>14</v>
      </c>
      <c r="D292" s="36">
        <v>0.25</v>
      </c>
      <c r="E292" s="6">
        <v>100</v>
      </c>
      <c r="F292" s="6">
        <v>103</v>
      </c>
      <c r="G292" s="6">
        <v>103</v>
      </c>
      <c r="H292" s="6">
        <v>50.9</v>
      </c>
      <c r="J292" s="36">
        <f t="shared" si="32"/>
        <v>0.03</v>
      </c>
      <c r="K292" s="6">
        <f t="shared" si="30"/>
        <v>3</v>
      </c>
      <c r="L292" s="6">
        <f t="shared" si="31"/>
        <v>36.9</v>
      </c>
      <c r="M292" s="36">
        <f t="shared" si="33"/>
        <v>0.03</v>
      </c>
      <c r="N292" s="82">
        <f t="shared" si="34"/>
        <v>1</v>
      </c>
      <c r="O292" s="82">
        <f t="shared" si="35"/>
        <v>0</v>
      </c>
    </row>
    <row r="293" spans="3:15" hidden="1" x14ac:dyDescent="0.35">
      <c r="C293" s="82">
        <v>14</v>
      </c>
      <c r="D293" s="36">
        <v>0.25</v>
      </c>
      <c r="E293" s="6">
        <v>100</v>
      </c>
      <c r="F293" s="6">
        <v>103</v>
      </c>
      <c r="G293" s="6">
        <v>104</v>
      </c>
      <c r="H293" s="6">
        <v>63.9</v>
      </c>
      <c r="J293" s="36">
        <f t="shared" si="32"/>
        <v>0.03</v>
      </c>
      <c r="K293" s="6">
        <f t="shared" si="30"/>
        <v>4</v>
      </c>
      <c r="L293" s="6">
        <f t="shared" si="31"/>
        <v>49.9</v>
      </c>
      <c r="M293" s="36">
        <f t="shared" si="33"/>
        <v>0.04</v>
      </c>
      <c r="N293" s="82">
        <f t="shared" si="34"/>
        <v>0</v>
      </c>
      <c r="O293" s="82">
        <f t="shared" si="35"/>
        <v>0</v>
      </c>
    </row>
    <row r="294" spans="3:15" hidden="1" x14ac:dyDescent="0.35">
      <c r="C294" s="82">
        <v>14</v>
      </c>
      <c r="D294" s="36">
        <v>0.25</v>
      </c>
      <c r="E294" s="6">
        <v>100</v>
      </c>
      <c r="F294" s="6">
        <v>103</v>
      </c>
      <c r="G294" s="6">
        <v>105</v>
      </c>
      <c r="H294" s="6">
        <v>77.2</v>
      </c>
      <c r="J294" s="36">
        <f t="shared" si="32"/>
        <v>0.03</v>
      </c>
      <c r="K294" s="6">
        <f t="shared" si="30"/>
        <v>5</v>
      </c>
      <c r="L294" s="6">
        <f t="shared" si="31"/>
        <v>63.2</v>
      </c>
      <c r="M294" s="36">
        <f t="shared" si="33"/>
        <v>0.05</v>
      </c>
      <c r="N294" s="82">
        <f t="shared" si="34"/>
        <v>0</v>
      </c>
      <c r="O294" s="82">
        <f t="shared" si="35"/>
        <v>0</v>
      </c>
    </row>
    <row r="295" spans="3:15" hidden="1" x14ac:dyDescent="0.35">
      <c r="C295" s="82">
        <v>14</v>
      </c>
      <c r="D295" s="36">
        <v>0.25</v>
      </c>
      <c r="E295" s="6">
        <v>100</v>
      </c>
      <c r="F295" s="6">
        <v>103</v>
      </c>
      <c r="G295" s="6">
        <v>106</v>
      </c>
      <c r="H295" s="6">
        <v>90.9</v>
      </c>
      <c r="J295" s="36">
        <f t="shared" si="32"/>
        <v>0.03</v>
      </c>
      <c r="K295" s="6">
        <f t="shared" si="30"/>
        <v>6</v>
      </c>
      <c r="L295" s="6">
        <f t="shared" si="31"/>
        <v>76.900000000000006</v>
      </c>
      <c r="M295" s="36">
        <f t="shared" si="33"/>
        <v>0.06</v>
      </c>
      <c r="N295" s="82">
        <f t="shared" si="34"/>
        <v>0</v>
      </c>
      <c r="O295" s="82">
        <f t="shared" si="35"/>
        <v>1</v>
      </c>
    </row>
    <row r="296" spans="3:15" hidden="1" x14ac:dyDescent="0.35">
      <c r="C296" s="82">
        <v>14</v>
      </c>
      <c r="D296" s="36">
        <v>0.25</v>
      </c>
      <c r="E296" s="6">
        <v>100</v>
      </c>
      <c r="F296" s="6">
        <v>103</v>
      </c>
      <c r="G296" s="6">
        <v>107</v>
      </c>
      <c r="H296" s="6">
        <v>104.9</v>
      </c>
      <c r="J296" s="36">
        <f t="shared" si="32"/>
        <v>0.03</v>
      </c>
      <c r="K296" s="6">
        <f t="shared" si="30"/>
        <v>7</v>
      </c>
      <c r="L296" s="6">
        <f t="shared" si="31"/>
        <v>90.9</v>
      </c>
      <c r="M296" s="36">
        <f t="shared" si="33"/>
        <v>7.0000000000000007E-2</v>
      </c>
      <c r="N296" s="82">
        <f t="shared" si="34"/>
        <v>0</v>
      </c>
      <c r="O296" s="82">
        <f t="shared" si="35"/>
        <v>0</v>
      </c>
    </row>
    <row r="297" spans="3:15" hidden="1" x14ac:dyDescent="0.35">
      <c r="C297" s="82">
        <v>14</v>
      </c>
      <c r="D297" s="36">
        <v>0.25</v>
      </c>
      <c r="E297" s="6">
        <v>100</v>
      </c>
      <c r="F297" s="6">
        <v>103</v>
      </c>
      <c r="G297" s="6">
        <v>108</v>
      </c>
      <c r="H297" s="6">
        <v>119.2</v>
      </c>
      <c r="J297" s="36">
        <f t="shared" si="32"/>
        <v>0.03</v>
      </c>
      <c r="K297" s="6">
        <f t="shared" si="30"/>
        <v>8</v>
      </c>
      <c r="L297" s="6">
        <f t="shared" si="31"/>
        <v>105.2</v>
      </c>
      <c r="M297" s="36">
        <f t="shared" si="33"/>
        <v>0.08</v>
      </c>
      <c r="N297" s="82">
        <f t="shared" si="34"/>
        <v>0</v>
      </c>
      <c r="O297" s="82">
        <f t="shared" si="35"/>
        <v>0</v>
      </c>
    </row>
    <row r="298" spans="3:15" hidden="1" x14ac:dyDescent="0.35">
      <c r="C298" s="82">
        <v>14</v>
      </c>
      <c r="D298" s="36">
        <v>0.25</v>
      </c>
      <c r="E298" s="6">
        <v>100</v>
      </c>
      <c r="F298" s="6">
        <v>103</v>
      </c>
      <c r="G298" s="6">
        <v>109</v>
      </c>
      <c r="H298" s="6">
        <v>133.69999999999999</v>
      </c>
      <c r="J298" s="36">
        <f t="shared" si="32"/>
        <v>0.03</v>
      </c>
      <c r="K298" s="6">
        <f t="shared" si="30"/>
        <v>9</v>
      </c>
      <c r="L298" s="6">
        <f t="shared" si="31"/>
        <v>119.69999999999999</v>
      </c>
      <c r="M298" s="36">
        <f t="shared" si="33"/>
        <v>0.09</v>
      </c>
      <c r="N298" s="82">
        <f t="shared" si="34"/>
        <v>0</v>
      </c>
      <c r="O298" s="82">
        <f t="shared" si="35"/>
        <v>0</v>
      </c>
    </row>
    <row r="299" spans="3:15" hidden="1" x14ac:dyDescent="0.35">
      <c r="C299" s="82">
        <v>14</v>
      </c>
      <c r="D299" s="36">
        <v>0.25</v>
      </c>
      <c r="E299" s="6">
        <v>100</v>
      </c>
      <c r="F299" s="6">
        <v>103</v>
      </c>
      <c r="G299" s="6">
        <v>110</v>
      </c>
      <c r="H299" s="6">
        <v>148.5</v>
      </c>
      <c r="J299" s="36">
        <f t="shared" si="32"/>
        <v>0.03</v>
      </c>
      <c r="K299" s="6">
        <f t="shared" si="30"/>
        <v>10</v>
      </c>
      <c r="L299" s="6">
        <f t="shared" si="31"/>
        <v>134.5</v>
      </c>
      <c r="M299" s="36">
        <f t="shared" si="33"/>
        <v>0.1</v>
      </c>
      <c r="N299" s="82">
        <f t="shared" si="34"/>
        <v>0</v>
      </c>
      <c r="O299" s="82">
        <f t="shared" si="35"/>
        <v>0</v>
      </c>
    </row>
    <row r="300" spans="3:15" hidden="1" x14ac:dyDescent="0.35">
      <c r="C300" s="82">
        <v>14</v>
      </c>
      <c r="D300" s="36">
        <v>0.25</v>
      </c>
      <c r="E300" s="6">
        <v>100</v>
      </c>
      <c r="F300" s="6">
        <v>103</v>
      </c>
      <c r="G300" s="6">
        <v>115</v>
      </c>
      <c r="H300" s="6">
        <v>225.6</v>
      </c>
      <c r="J300" s="36">
        <f t="shared" si="32"/>
        <v>0.03</v>
      </c>
      <c r="K300" s="6">
        <f t="shared" si="30"/>
        <v>15</v>
      </c>
      <c r="L300" s="6">
        <f t="shared" si="31"/>
        <v>211.6</v>
      </c>
      <c r="M300" s="36">
        <f t="shared" si="33"/>
        <v>0.15</v>
      </c>
      <c r="N300" s="82">
        <f t="shared" si="34"/>
        <v>0</v>
      </c>
      <c r="O300" s="82">
        <f t="shared" si="35"/>
        <v>0</v>
      </c>
    </row>
    <row r="301" spans="3:15" hidden="1" x14ac:dyDescent="0.35">
      <c r="C301" s="82">
        <v>14</v>
      </c>
      <c r="D301" s="36">
        <v>0.25</v>
      </c>
      <c r="E301" s="6">
        <v>100</v>
      </c>
      <c r="F301" s="6">
        <v>103</v>
      </c>
      <c r="G301" s="6">
        <v>120</v>
      </c>
      <c r="H301" s="6">
        <v>306.5</v>
      </c>
      <c r="J301" s="36">
        <f t="shared" si="32"/>
        <v>0.03</v>
      </c>
      <c r="K301" s="6">
        <f t="shared" si="30"/>
        <v>20</v>
      </c>
      <c r="L301" s="6">
        <f t="shared" si="31"/>
        <v>292.5</v>
      </c>
      <c r="M301" s="36">
        <f t="shared" si="33"/>
        <v>0.2</v>
      </c>
      <c r="N301" s="82">
        <f t="shared" si="34"/>
        <v>0</v>
      </c>
      <c r="O301" s="82">
        <f t="shared" si="35"/>
        <v>0</v>
      </c>
    </row>
    <row r="302" spans="3:15" hidden="1" x14ac:dyDescent="0.35">
      <c r="C302" s="82">
        <v>14</v>
      </c>
      <c r="D302" s="36">
        <v>0.25</v>
      </c>
      <c r="E302" s="6">
        <v>100</v>
      </c>
      <c r="F302" s="6">
        <v>103</v>
      </c>
      <c r="G302" s="6">
        <v>125</v>
      </c>
      <c r="H302" s="6">
        <v>390</v>
      </c>
      <c r="J302" s="36">
        <f t="shared" si="32"/>
        <v>0.03</v>
      </c>
      <c r="K302" s="6">
        <f t="shared" si="30"/>
        <v>25</v>
      </c>
      <c r="L302" s="6">
        <f t="shared" si="31"/>
        <v>376</v>
      </c>
      <c r="M302" s="36">
        <f t="shared" si="33"/>
        <v>0.25</v>
      </c>
      <c r="N302" s="82">
        <f t="shared" si="34"/>
        <v>0</v>
      </c>
      <c r="O302" s="82">
        <f t="shared" si="35"/>
        <v>0</v>
      </c>
    </row>
    <row r="303" spans="3:15" hidden="1" x14ac:dyDescent="0.35">
      <c r="C303" s="82">
        <v>14</v>
      </c>
      <c r="D303" s="36">
        <v>0.25</v>
      </c>
      <c r="E303" s="6">
        <v>100</v>
      </c>
      <c r="F303" s="6">
        <v>104</v>
      </c>
      <c r="G303" s="6">
        <v>101</v>
      </c>
      <c r="H303" s="6">
        <v>28.5</v>
      </c>
      <c r="J303" s="36">
        <f t="shared" si="32"/>
        <v>0.04</v>
      </c>
      <c r="K303" s="6">
        <f t="shared" si="30"/>
        <v>1</v>
      </c>
      <c r="L303" s="6">
        <f t="shared" si="31"/>
        <v>14.5</v>
      </c>
      <c r="M303" s="36">
        <f t="shared" si="33"/>
        <v>0.01</v>
      </c>
      <c r="N303" s="82">
        <f t="shared" si="34"/>
        <v>0</v>
      </c>
      <c r="O303" s="82">
        <f t="shared" si="35"/>
        <v>0</v>
      </c>
    </row>
    <row r="304" spans="3:15" hidden="1" x14ac:dyDescent="0.35">
      <c r="C304" s="82">
        <v>14</v>
      </c>
      <c r="D304" s="36">
        <v>0.25</v>
      </c>
      <c r="E304" s="6">
        <v>100</v>
      </c>
      <c r="F304" s="6">
        <v>104</v>
      </c>
      <c r="G304" s="6">
        <v>102</v>
      </c>
      <c r="H304" s="6">
        <v>42.7</v>
      </c>
      <c r="J304" s="36">
        <f t="shared" si="32"/>
        <v>0.04</v>
      </c>
      <c r="K304" s="6">
        <f t="shared" si="30"/>
        <v>2</v>
      </c>
      <c r="L304" s="6">
        <f t="shared" si="31"/>
        <v>28.700000000000003</v>
      </c>
      <c r="M304" s="36">
        <f t="shared" si="33"/>
        <v>0.02</v>
      </c>
      <c r="N304" s="82">
        <f t="shared" si="34"/>
        <v>0</v>
      </c>
      <c r="O304" s="82">
        <f t="shared" si="35"/>
        <v>0</v>
      </c>
    </row>
    <row r="305" spans="3:15" hidden="1" x14ac:dyDescent="0.35">
      <c r="C305" s="82">
        <v>14</v>
      </c>
      <c r="D305" s="36">
        <v>0.25</v>
      </c>
      <c r="E305" s="6">
        <v>100</v>
      </c>
      <c r="F305" s="6">
        <v>104</v>
      </c>
      <c r="G305" s="6">
        <v>103</v>
      </c>
      <c r="H305" s="6">
        <v>57.1</v>
      </c>
      <c r="J305" s="36">
        <f t="shared" si="32"/>
        <v>0.04</v>
      </c>
      <c r="K305" s="6">
        <f t="shared" si="30"/>
        <v>3</v>
      </c>
      <c r="L305" s="6">
        <f t="shared" si="31"/>
        <v>43.1</v>
      </c>
      <c r="M305" s="36">
        <f t="shared" si="33"/>
        <v>0.03</v>
      </c>
      <c r="N305" s="82">
        <f t="shared" si="34"/>
        <v>0</v>
      </c>
      <c r="O305" s="82">
        <f t="shared" si="35"/>
        <v>0</v>
      </c>
    </row>
    <row r="306" spans="3:15" hidden="1" x14ac:dyDescent="0.35">
      <c r="C306" s="82">
        <v>14</v>
      </c>
      <c r="D306" s="36">
        <v>0.25</v>
      </c>
      <c r="E306" s="6">
        <v>100</v>
      </c>
      <c r="F306" s="6">
        <v>104</v>
      </c>
      <c r="G306" s="6">
        <v>104</v>
      </c>
      <c r="H306" s="6">
        <v>71.900000000000006</v>
      </c>
      <c r="J306" s="36">
        <f t="shared" si="32"/>
        <v>0.04</v>
      </c>
      <c r="K306" s="6">
        <f t="shared" si="30"/>
        <v>4</v>
      </c>
      <c r="L306" s="6">
        <f t="shared" si="31"/>
        <v>57.900000000000006</v>
      </c>
      <c r="M306" s="36">
        <f t="shared" si="33"/>
        <v>0.04</v>
      </c>
      <c r="N306" s="82">
        <f t="shared" si="34"/>
        <v>1</v>
      </c>
      <c r="O306" s="82">
        <f t="shared" si="35"/>
        <v>0</v>
      </c>
    </row>
    <row r="307" spans="3:15" hidden="1" x14ac:dyDescent="0.35">
      <c r="C307" s="82">
        <v>14</v>
      </c>
      <c r="D307" s="36">
        <v>0.25</v>
      </c>
      <c r="E307" s="6">
        <v>100</v>
      </c>
      <c r="F307" s="6">
        <v>104</v>
      </c>
      <c r="G307" s="6">
        <v>105</v>
      </c>
      <c r="H307" s="82">
        <v>87</v>
      </c>
      <c r="J307" s="36">
        <f t="shared" si="32"/>
        <v>0.04</v>
      </c>
      <c r="K307" s="6">
        <f t="shared" si="30"/>
        <v>5</v>
      </c>
      <c r="L307" s="6">
        <f t="shared" si="31"/>
        <v>73</v>
      </c>
      <c r="M307" s="36">
        <f t="shared" si="33"/>
        <v>0.05</v>
      </c>
      <c r="N307" s="82">
        <f t="shared" si="34"/>
        <v>0</v>
      </c>
      <c r="O307" s="82">
        <f t="shared" si="35"/>
        <v>0</v>
      </c>
    </row>
    <row r="308" spans="3:15" hidden="1" x14ac:dyDescent="0.35">
      <c r="C308" s="82">
        <v>14</v>
      </c>
      <c r="D308" s="36">
        <v>0.25</v>
      </c>
      <c r="E308" s="6">
        <v>100</v>
      </c>
      <c r="F308" s="6">
        <v>104</v>
      </c>
      <c r="G308" s="6">
        <v>106</v>
      </c>
      <c r="H308" s="6">
        <v>102.4</v>
      </c>
      <c r="J308" s="36">
        <f t="shared" si="32"/>
        <v>0.04</v>
      </c>
      <c r="K308" s="6">
        <f t="shared" si="30"/>
        <v>6</v>
      </c>
      <c r="L308" s="6">
        <f t="shared" si="31"/>
        <v>88.4</v>
      </c>
      <c r="M308" s="36">
        <f t="shared" si="33"/>
        <v>0.06</v>
      </c>
      <c r="N308" s="82">
        <f t="shared" si="34"/>
        <v>0</v>
      </c>
      <c r="O308" s="82">
        <f t="shared" si="35"/>
        <v>0</v>
      </c>
    </row>
    <row r="309" spans="3:15" hidden="1" x14ac:dyDescent="0.35">
      <c r="C309" s="82">
        <v>14</v>
      </c>
      <c r="D309" s="36">
        <v>0.25</v>
      </c>
      <c r="E309" s="6">
        <v>100</v>
      </c>
      <c r="F309" s="6">
        <v>104</v>
      </c>
      <c r="G309" s="6">
        <v>107</v>
      </c>
      <c r="H309" s="6">
        <v>118.1</v>
      </c>
      <c r="J309" s="36">
        <f t="shared" si="32"/>
        <v>0.04</v>
      </c>
      <c r="K309" s="6">
        <f t="shared" si="30"/>
        <v>7</v>
      </c>
      <c r="L309" s="6">
        <f t="shared" si="31"/>
        <v>104.1</v>
      </c>
      <c r="M309" s="36">
        <f t="shared" si="33"/>
        <v>7.0000000000000007E-2</v>
      </c>
      <c r="N309" s="82">
        <f t="shared" si="34"/>
        <v>0</v>
      </c>
      <c r="O309" s="82">
        <f t="shared" si="35"/>
        <v>0</v>
      </c>
    </row>
    <row r="310" spans="3:15" hidden="1" x14ac:dyDescent="0.35">
      <c r="C310" s="82">
        <v>14</v>
      </c>
      <c r="D310" s="36">
        <v>0.25</v>
      </c>
      <c r="E310" s="6">
        <v>100</v>
      </c>
      <c r="F310" s="6">
        <v>104</v>
      </c>
      <c r="G310" s="6">
        <v>108</v>
      </c>
      <c r="H310" s="6">
        <v>134.1</v>
      </c>
      <c r="J310" s="36">
        <f t="shared" si="32"/>
        <v>0.04</v>
      </c>
      <c r="K310" s="6">
        <f t="shared" si="30"/>
        <v>8</v>
      </c>
      <c r="L310" s="6">
        <f t="shared" si="31"/>
        <v>120.1</v>
      </c>
      <c r="M310" s="36">
        <f t="shared" si="33"/>
        <v>0.08</v>
      </c>
      <c r="N310" s="82">
        <f t="shared" si="34"/>
        <v>0</v>
      </c>
      <c r="O310" s="82">
        <f t="shared" si="35"/>
        <v>1</v>
      </c>
    </row>
    <row r="311" spans="3:15" hidden="1" x14ac:dyDescent="0.35">
      <c r="C311" s="82">
        <v>14</v>
      </c>
      <c r="D311" s="36">
        <v>0.25</v>
      </c>
      <c r="E311" s="6">
        <v>100</v>
      </c>
      <c r="F311" s="6">
        <v>104</v>
      </c>
      <c r="G311" s="6">
        <v>109</v>
      </c>
      <c r="H311" s="6">
        <v>150.4</v>
      </c>
      <c r="J311" s="36">
        <f t="shared" si="32"/>
        <v>0.04</v>
      </c>
      <c r="K311" s="6">
        <f t="shared" si="30"/>
        <v>9</v>
      </c>
      <c r="L311" s="6">
        <f t="shared" si="31"/>
        <v>136.4</v>
      </c>
      <c r="M311" s="36">
        <f t="shared" si="33"/>
        <v>0.09</v>
      </c>
      <c r="N311" s="82">
        <f t="shared" si="34"/>
        <v>0</v>
      </c>
      <c r="O311" s="82">
        <f t="shared" si="35"/>
        <v>0</v>
      </c>
    </row>
    <row r="312" spans="3:15" hidden="1" x14ac:dyDescent="0.35">
      <c r="C312" s="82">
        <v>14</v>
      </c>
      <c r="D312" s="36">
        <v>0.25</v>
      </c>
      <c r="E312" s="6">
        <v>100</v>
      </c>
      <c r="F312" s="6">
        <v>104</v>
      </c>
      <c r="G312" s="6">
        <v>110</v>
      </c>
      <c r="H312" s="6">
        <v>166.9</v>
      </c>
      <c r="J312" s="36">
        <f t="shared" si="32"/>
        <v>0.04</v>
      </c>
      <c r="K312" s="6">
        <f t="shared" si="30"/>
        <v>10</v>
      </c>
      <c r="L312" s="6">
        <f t="shared" si="31"/>
        <v>152.9</v>
      </c>
      <c r="M312" s="36">
        <f t="shared" si="33"/>
        <v>0.1</v>
      </c>
      <c r="N312" s="82">
        <f t="shared" si="34"/>
        <v>0</v>
      </c>
      <c r="O312" s="82">
        <f t="shared" si="35"/>
        <v>0</v>
      </c>
    </row>
    <row r="313" spans="3:15" hidden="1" x14ac:dyDescent="0.35">
      <c r="C313" s="82">
        <v>14</v>
      </c>
      <c r="D313" s="36">
        <v>0.25</v>
      </c>
      <c r="E313" s="6">
        <v>100</v>
      </c>
      <c r="F313" s="6">
        <v>104</v>
      </c>
      <c r="G313" s="6">
        <v>115</v>
      </c>
      <c r="H313" s="6">
        <v>252.4</v>
      </c>
      <c r="J313" s="36">
        <f t="shared" si="32"/>
        <v>0.04</v>
      </c>
      <c r="K313" s="6">
        <f t="shared" si="30"/>
        <v>15</v>
      </c>
      <c r="L313" s="6">
        <f t="shared" si="31"/>
        <v>238.4</v>
      </c>
      <c r="M313" s="36">
        <f t="shared" si="33"/>
        <v>0.15</v>
      </c>
      <c r="N313" s="82">
        <f t="shared" si="34"/>
        <v>0</v>
      </c>
      <c r="O313" s="82">
        <f t="shared" si="35"/>
        <v>0</v>
      </c>
    </row>
    <row r="314" spans="3:15" hidden="1" x14ac:dyDescent="0.35">
      <c r="C314" s="82">
        <v>14</v>
      </c>
      <c r="D314" s="36">
        <v>0.25</v>
      </c>
      <c r="E314" s="6">
        <v>100</v>
      </c>
      <c r="F314" s="6">
        <v>104</v>
      </c>
      <c r="G314" s="6">
        <v>120</v>
      </c>
      <c r="H314" s="6">
        <v>341.5</v>
      </c>
      <c r="J314" s="36">
        <f t="shared" si="32"/>
        <v>0.04</v>
      </c>
      <c r="K314" s="6">
        <f t="shared" si="30"/>
        <v>20</v>
      </c>
      <c r="L314" s="6">
        <f t="shared" si="31"/>
        <v>327.5</v>
      </c>
      <c r="M314" s="36">
        <f t="shared" si="33"/>
        <v>0.2</v>
      </c>
      <c r="N314" s="82">
        <f t="shared" si="34"/>
        <v>0</v>
      </c>
      <c r="O314" s="82">
        <f t="shared" si="35"/>
        <v>0</v>
      </c>
    </row>
    <row r="315" spans="3:15" hidden="1" x14ac:dyDescent="0.35">
      <c r="C315" s="82">
        <v>14</v>
      </c>
      <c r="D315" s="36">
        <v>0.25</v>
      </c>
      <c r="E315" s="6">
        <v>100</v>
      </c>
      <c r="F315" s="6">
        <v>104</v>
      </c>
      <c r="G315" s="6">
        <v>125</v>
      </c>
      <c r="H315" s="6">
        <v>433</v>
      </c>
      <c r="J315" s="36">
        <f t="shared" si="32"/>
        <v>0.04</v>
      </c>
      <c r="K315" s="6">
        <f t="shared" si="30"/>
        <v>25</v>
      </c>
      <c r="L315" s="6">
        <f t="shared" si="31"/>
        <v>419</v>
      </c>
      <c r="M315" s="36">
        <f t="shared" si="33"/>
        <v>0.25</v>
      </c>
      <c r="N315" s="82">
        <f t="shared" si="34"/>
        <v>0</v>
      </c>
      <c r="O315" s="82">
        <f t="shared" si="35"/>
        <v>0</v>
      </c>
    </row>
    <row r="316" spans="3:15" hidden="1" x14ac:dyDescent="0.35">
      <c r="C316" s="82">
        <v>14</v>
      </c>
      <c r="D316" s="36">
        <v>0.25</v>
      </c>
      <c r="E316" s="6">
        <v>100</v>
      </c>
      <c r="F316" s="6">
        <v>105</v>
      </c>
      <c r="G316" s="6">
        <v>101</v>
      </c>
      <c r="H316" s="6">
        <v>31.3</v>
      </c>
      <c r="J316" s="36">
        <f t="shared" si="32"/>
        <v>0.05</v>
      </c>
      <c r="K316" s="6">
        <f t="shared" si="30"/>
        <v>1</v>
      </c>
      <c r="L316" s="6">
        <f t="shared" si="31"/>
        <v>17.3</v>
      </c>
      <c r="M316" s="36">
        <f t="shared" si="33"/>
        <v>0.01</v>
      </c>
      <c r="N316" s="82">
        <f t="shared" si="34"/>
        <v>0</v>
      </c>
      <c r="O316" s="82">
        <f t="shared" si="35"/>
        <v>0</v>
      </c>
    </row>
    <row r="317" spans="3:15" hidden="1" x14ac:dyDescent="0.35">
      <c r="C317" s="82">
        <v>14</v>
      </c>
      <c r="D317" s="36">
        <v>0.25</v>
      </c>
      <c r="E317" s="6">
        <v>100</v>
      </c>
      <c r="F317" s="6">
        <v>105</v>
      </c>
      <c r="G317" s="6">
        <v>102</v>
      </c>
      <c r="H317" s="6">
        <v>47.8</v>
      </c>
      <c r="J317" s="36">
        <f t="shared" si="32"/>
        <v>0.05</v>
      </c>
      <c r="K317" s="6">
        <f t="shared" si="30"/>
        <v>2</v>
      </c>
      <c r="L317" s="6">
        <f t="shared" si="31"/>
        <v>33.799999999999997</v>
      </c>
      <c r="M317" s="36">
        <f t="shared" si="33"/>
        <v>0.02</v>
      </c>
      <c r="N317" s="82">
        <f t="shared" si="34"/>
        <v>0</v>
      </c>
      <c r="O317" s="82">
        <f t="shared" si="35"/>
        <v>0</v>
      </c>
    </row>
    <row r="318" spans="3:15" hidden="1" x14ac:dyDescent="0.35">
      <c r="C318" s="82">
        <v>14</v>
      </c>
      <c r="D318" s="36">
        <v>0.25</v>
      </c>
      <c r="E318" s="6">
        <v>100</v>
      </c>
      <c r="F318" s="6">
        <v>105</v>
      </c>
      <c r="G318" s="6">
        <v>103</v>
      </c>
      <c r="H318" s="6">
        <v>64.2</v>
      </c>
      <c r="J318" s="36">
        <f t="shared" si="32"/>
        <v>0.05</v>
      </c>
      <c r="K318" s="6">
        <f t="shared" ref="K318:K367" si="36">G318-E318</f>
        <v>3</v>
      </c>
      <c r="L318" s="6">
        <f t="shared" ref="L318:L367" si="37">H318-C318</f>
        <v>50.2</v>
      </c>
      <c r="M318" s="36">
        <f t="shared" si="33"/>
        <v>0.03</v>
      </c>
      <c r="N318" s="82">
        <f t="shared" si="34"/>
        <v>0</v>
      </c>
      <c r="O318" s="82">
        <f t="shared" si="35"/>
        <v>0</v>
      </c>
    </row>
    <row r="319" spans="3:15" hidden="1" x14ac:dyDescent="0.35">
      <c r="C319" s="82">
        <v>14</v>
      </c>
      <c r="D319" s="36">
        <v>0.25</v>
      </c>
      <c r="E319" s="6">
        <v>100</v>
      </c>
      <c r="F319" s="6">
        <v>105</v>
      </c>
      <c r="G319" s="6">
        <v>104</v>
      </c>
      <c r="H319" s="6">
        <v>81</v>
      </c>
      <c r="J319" s="36">
        <f t="shared" si="32"/>
        <v>0.05</v>
      </c>
      <c r="K319" s="6">
        <f t="shared" si="36"/>
        <v>4</v>
      </c>
      <c r="L319" s="6">
        <f t="shared" si="37"/>
        <v>67</v>
      </c>
      <c r="M319" s="36">
        <f t="shared" si="33"/>
        <v>0.04</v>
      </c>
      <c r="N319" s="82">
        <f t="shared" si="34"/>
        <v>0</v>
      </c>
      <c r="O319" s="82">
        <f t="shared" si="35"/>
        <v>0</v>
      </c>
    </row>
    <row r="320" spans="3:15" hidden="1" x14ac:dyDescent="0.35">
      <c r="C320" s="82">
        <v>14</v>
      </c>
      <c r="D320" s="36">
        <v>0.25</v>
      </c>
      <c r="E320" s="6">
        <v>100</v>
      </c>
      <c r="F320" s="6">
        <v>105</v>
      </c>
      <c r="G320" s="6">
        <v>105</v>
      </c>
      <c r="H320" s="6">
        <v>98</v>
      </c>
      <c r="J320" s="36">
        <f t="shared" si="32"/>
        <v>0.05</v>
      </c>
      <c r="K320" s="6">
        <f t="shared" si="36"/>
        <v>5</v>
      </c>
      <c r="L320" s="6">
        <f t="shared" si="37"/>
        <v>84</v>
      </c>
      <c r="M320" s="36">
        <f t="shared" si="33"/>
        <v>0.05</v>
      </c>
      <c r="N320" s="82">
        <f t="shared" si="34"/>
        <v>1</v>
      </c>
      <c r="O320" s="82">
        <f t="shared" si="35"/>
        <v>0</v>
      </c>
    </row>
    <row r="321" spans="3:15" hidden="1" x14ac:dyDescent="0.35">
      <c r="C321" s="82">
        <v>14</v>
      </c>
      <c r="D321" s="36">
        <v>0.25</v>
      </c>
      <c r="E321" s="6">
        <v>100</v>
      </c>
      <c r="F321" s="6">
        <v>105</v>
      </c>
      <c r="G321" s="6">
        <v>106</v>
      </c>
      <c r="H321" s="6">
        <v>115.3</v>
      </c>
      <c r="J321" s="36">
        <f t="shared" si="32"/>
        <v>0.05</v>
      </c>
      <c r="K321" s="6">
        <f t="shared" si="36"/>
        <v>6</v>
      </c>
      <c r="L321" s="6">
        <f t="shared" si="37"/>
        <v>101.3</v>
      </c>
      <c r="M321" s="36">
        <f t="shared" si="33"/>
        <v>0.06</v>
      </c>
      <c r="N321" s="82">
        <f t="shared" si="34"/>
        <v>0</v>
      </c>
      <c r="O321" s="82">
        <f t="shared" si="35"/>
        <v>0</v>
      </c>
    </row>
    <row r="322" spans="3:15" hidden="1" x14ac:dyDescent="0.35">
      <c r="C322" s="82">
        <v>14</v>
      </c>
      <c r="D322" s="36">
        <v>0.25</v>
      </c>
      <c r="E322" s="6">
        <v>100</v>
      </c>
      <c r="F322" s="6">
        <v>105</v>
      </c>
      <c r="G322" s="6">
        <v>107</v>
      </c>
      <c r="H322" s="6">
        <v>132.9</v>
      </c>
      <c r="J322" s="36">
        <f t="shared" si="32"/>
        <v>0.05</v>
      </c>
      <c r="K322" s="6">
        <f t="shared" si="36"/>
        <v>7</v>
      </c>
      <c r="L322" s="6">
        <f t="shared" si="37"/>
        <v>118.9</v>
      </c>
      <c r="M322" s="36">
        <f t="shared" si="33"/>
        <v>7.0000000000000007E-2</v>
      </c>
      <c r="N322" s="82">
        <f t="shared" si="34"/>
        <v>0</v>
      </c>
      <c r="O322" s="82">
        <f t="shared" si="35"/>
        <v>0</v>
      </c>
    </row>
    <row r="323" spans="3:15" hidden="1" x14ac:dyDescent="0.35">
      <c r="C323" s="82">
        <v>14</v>
      </c>
      <c r="D323" s="36">
        <v>0.25</v>
      </c>
      <c r="E323" s="6">
        <v>100</v>
      </c>
      <c r="F323" s="6">
        <v>105</v>
      </c>
      <c r="G323" s="6">
        <v>108</v>
      </c>
      <c r="H323" s="6">
        <v>150.69999999999999</v>
      </c>
      <c r="J323" s="36">
        <f t="shared" si="32"/>
        <v>0.05</v>
      </c>
      <c r="K323" s="6">
        <f t="shared" si="36"/>
        <v>8</v>
      </c>
      <c r="L323" s="6">
        <f t="shared" si="37"/>
        <v>136.69999999999999</v>
      </c>
      <c r="M323" s="36">
        <f t="shared" si="33"/>
        <v>0.08</v>
      </c>
      <c r="N323" s="82">
        <f t="shared" si="34"/>
        <v>0</v>
      </c>
      <c r="O323" s="82">
        <f t="shared" si="35"/>
        <v>0</v>
      </c>
    </row>
    <row r="324" spans="3:15" hidden="1" x14ac:dyDescent="0.35">
      <c r="C324" s="82">
        <v>14</v>
      </c>
      <c r="D324" s="36">
        <v>0.25</v>
      </c>
      <c r="E324" s="6">
        <v>100</v>
      </c>
      <c r="F324" s="6">
        <v>105</v>
      </c>
      <c r="G324" s="6">
        <v>109</v>
      </c>
      <c r="H324" s="6">
        <v>168.8</v>
      </c>
      <c r="J324" s="36">
        <f t="shared" si="32"/>
        <v>0.05</v>
      </c>
      <c r="K324" s="6">
        <f t="shared" si="36"/>
        <v>9</v>
      </c>
      <c r="L324" s="6">
        <f t="shared" si="37"/>
        <v>154.80000000000001</v>
      </c>
      <c r="M324" s="36">
        <f t="shared" si="33"/>
        <v>0.09</v>
      </c>
      <c r="N324" s="82">
        <f t="shared" si="34"/>
        <v>0</v>
      </c>
      <c r="O324" s="82">
        <f t="shared" si="35"/>
        <v>0</v>
      </c>
    </row>
    <row r="325" spans="3:15" hidden="1" x14ac:dyDescent="0.35">
      <c r="C325" s="82">
        <v>14</v>
      </c>
      <c r="D325" s="36">
        <v>0.25</v>
      </c>
      <c r="E325" s="6">
        <v>100</v>
      </c>
      <c r="F325" s="6">
        <v>105</v>
      </c>
      <c r="G325" s="6">
        <v>110</v>
      </c>
      <c r="H325" s="6">
        <v>187</v>
      </c>
      <c r="J325" s="36">
        <f t="shared" si="32"/>
        <v>0.05</v>
      </c>
      <c r="K325" s="6">
        <f t="shared" si="36"/>
        <v>10</v>
      </c>
      <c r="L325" s="6">
        <f t="shared" si="37"/>
        <v>173</v>
      </c>
      <c r="M325" s="36">
        <f t="shared" si="33"/>
        <v>0.1</v>
      </c>
      <c r="N325" s="82">
        <f t="shared" si="34"/>
        <v>0</v>
      </c>
      <c r="O325" s="82">
        <f t="shared" si="35"/>
        <v>1</v>
      </c>
    </row>
    <row r="326" spans="3:15" hidden="1" x14ac:dyDescent="0.35">
      <c r="C326" s="82">
        <v>14</v>
      </c>
      <c r="D326" s="36">
        <v>0.25</v>
      </c>
      <c r="E326" s="6">
        <v>100</v>
      </c>
      <c r="F326" s="6">
        <v>105</v>
      </c>
      <c r="G326" s="6">
        <v>115</v>
      </c>
      <c r="H326" s="6">
        <v>281.3</v>
      </c>
      <c r="J326" s="36">
        <f t="shared" si="32"/>
        <v>0.05</v>
      </c>
      <c r="K326" s="6">
        <f t="shared" si="36"/>
        <v>15</v>
      </c>
      <c r="L326" s="6">
        <f t="shared" si="37"/>
        <v>267.3</v>
      </c>
      <c r="M326" s="36">
        <f t="shared" si="33"/>
        <v>0.15</v>
      </c>
      <c r="N326" s="82">
        <f t="shared" si="34"/>
        <v>0</v>
      </c>
      <c r="O326" s="82">
        <f t="shared" si="35"/>
        <v>0</v>
      </c>
    </row>
    <row r="327" spans="3:15" hidden="1" x14ac:dyDescent="0.35">
      <c r="C327" s="82">
        <v>14</v>
      </c>
      <c r="D327" s="36">
        <v>0.25</v>
      </c>
      <c r="E327" s="6">
        <v>100</v>
      </c>
      <c r="F327" s="6">
        <v>105</v>
      </c>
      <c r="G327" s="6">
        <v>120</v>
      </c>
      <c r="H327" s="6">
        <v>378.9</v>
      </c>
      <c r="J327" s="36">
        <f t="shared" si="32"/>
        <v>0.05</v>
      </c>
      <c r="K327" s="6">
        <f t="shared" si="36"/>
        <v>20</v>
      </c>
      <c r="L327" s="6">
        <f t="shared" si="37"/>
        <v>364.9</v>
      </c>
      <c r="M327" s="36">
        <f t="shared" si="33"/>
        <v>0.2</v>
      </c>
      <c r="N327" s="82">
        <f t="shared" si="34"/>
        <v>0</v>
      </c>
      <c r="O327" s="82">
        <f t="shared" si="35"/>
        <v>0</v>
      </c>
    </row>
    <row r="328" spans="3:15" hidden="1" x14ac:dyDescent="0.35">
      <c r="C328" s="82">
        <v>14</v>
      </c>
      <c r="D328" s="36">
        <v>0.25</v>
      </c>
      <c r="E328" s="6">
        <v>100</v>
      </c>
      <c r="F328" s="6">
        <v>105</v>
      </c>
      <c r="G328" s="6">
        <v>125</v>
      </c>
      <c r="H328" s="6">
        <v>478.6</v>
      </c>
      <c r="J328" s="36">
        <f t="shared" si="32"/>
        <v>0.05</v>
      </c>
      <c r="K328" s="6">
        <f t="shared" si="36"/>
        <v>25</v>
      </c>
      <c r="L328" s="6">
        <f t="shared" si="37"/>
        <v>464.6</v>
      </c>
      <c r="M328" s="36">
        <f t="shared" si="33"/>
        <v>0.25</v>
      </c>
      <c r="N328" s="82">
        <f t="shared" si="34"/>
        <v>0</v>
      </c>
      <c r="O328" s="82">
        <f t="shared" si="35"/>
        <v>0</v>
      </c>
    </row>
    <row r="329" spans="3:15" hidden="1" x14ac:dyDescent="0.35">
      <c r="C329" s="82">
        <v>14</v>
      </c>
      <c r="D329" s="36">
        <v>0.25</v>
      </c>
      <c r="E329" s="6">
        <v>100</v>
      </c>
      <c r="F329" s="6">
        <v>110</v>
      </c>
      <c r="G329" s="6">
        <v>101</v>
      </c>
      <c r="H329" s="6">
        <v>54.4</v>
      </c>
      <c r="J329" s="36">
        <f t="shared" si="32"/>
        <v>0.1</v>
      </c>
      <c r="K329" s="6">
        <f t="shared" si="36"/>
        <v>1</v>
      </c>
      <c r="L329" s="6">
        <f t="shared" si="37"/>
        <v>40.4</v>
      </c>
      <c r="M329" s="36">
        <f t="shared" si="33"/>
        <v>0.01</v>
      </c>
      <c r="N329" s="82">
        <f t="shared" si="34"/>
        <v>0</v>
      </c>
      <c r="O329" s="82">
        <f t="shared" si="35"/>
        <v>0</v>
      </c>
    </row>
    <row r="330" spans="3:15" hidden="1" x14ac:dyDescent="0.35">
      <c r="C330" s="82">
        <v>14</v>
      </c>
      <c r="D330" s="36">
        <v>0.25</v>
      </c>
      <c r="E330" s="6">
        <v>100</v>
      </c>
      <c r="F330" s="6">
        <v>110</v>
      </c>
      <c r="G330" s="6">
        <v>102</v>
      </c>
      <c r="H330" s="6">
        <v>84.5</v>
      </c>
      <c r="J330" s="36">
        <f t="shared" si="32"/>
        <v>0.1</v>
      </c>
      <c r="K330" s="6">
        <f t="shared" si="36"/>
        <v>2</v>
      </c>
      <c r="L330" s="6">
        <f t="shared" si="37"/>
        <v>70.5</v>
      </c>
      <c r="M330" s="36">
        <f t="shared" si="33"/>
        <v>0.02</v>
      </c>
      <c r="N330" s="82">
        <f t="shared" si="34"/>
        <v>0</v>
      </c>
      <c r="O330" s="82">
        <f t="shared" si="35"/>
        <v>0</v>
      </c>
    </row>
    <row r="331" spans="3:15" hidden="1" x14ac:dyDescent="0.35">
      <c r="C331" s="82">
        <v>14</v>
      </c>
      <c r="D331" s="36">
        <v>0.25</v>
      </c>
      <c r="E331" s="6">
        <v>100</v>
      </c>
      <c r="F331" s="6">
        <v>110</v>
      </c>
      <c r="G331" s="6">
        <v>103</v>
      </c>
      <c r="H331" s="6">
        <v>113</v>
      </c>
      <c r="J331" s="36">
        <f t="shared" si="32"/>
        <v>0.1</v>
      </c>
      <c r="K331" s="6">
        <f t="shared" si="36"/>
        <v>3</v>
      </c>
      <c r="L331" s="6">
        <f t="shared" si="37"/>
        <v>99</v>
      </c>
      <c r="M331" s="36">
        <f t="shared" si="33"/>
        <v>0.03</v>
      </c>
      <c r="N331" s="82">
        <f t="shared" si="34"/>
        <v>0</v>
      </c>
      <c r="O331" s="82">
        <f t="shared" si="35"/>
        <v>0</v>
      </c>
    </row>
    <row r="332" spans="3:15" hidden="1" x14ac:dyDescent="0.35">
      <c r="C332" s="82">
        <v>14</v>
      </c>
      <c r="D332" s="36">
        <v>0.25</v>
      </c>
      <c r="E332" s="6">
        <v>100</v>
      </c>
      <c r="F332" s="6">
        <v>110</v>
      </c>
      <c r="G332" s="6">
        <v>104</v>
      </c>
      <c r="H332" s="6">
        <v>141</v>
      </c>
      <c r="J332" s="36">
        <f t="shared" si="32"/>
        <v>0.1</v>
      </c>
      <c r="K332" s="6">
        <f t="shared" si="36"/>
        <v>4</v>
      </c>
      <c r="L332" s="6">
        <f t="shared" si="37"/>
        <v>127</v>
      </c>
      <c r="M332" s="36">
        <f t="shared" si="33"/>
        <v>0.04</v>
      </c>
      <c r="N332" s="82">
        <f t="shared" si="34"/>
        <v>0</v>
      </c>
      <c r="O332" s="82">
        <f t="shared" si="35"/>
        <v>0</v>
      </c>
    </row>
    <row r="333" spans="3:15" hidden="1" x14ac:dyDescent="0.35">
      <c r="C333" s="82">
        <v>14</v>
      </c>
      <c r="D333" s="36">
        <v>0.25</v>
      </c>
      <c r="E333" s="6">
        <v>100</v>
      </c>
      <c r="F333" s="6">
        <v>110</v>
      </c>
      <c r="G333" s="6">
        <v>105</v>
      </c>
      <c r="H333" s="6">
        <v>168.7</v>
      </c>
      <c r="J333" s="36">
        <f t="shared" si="32"/>
        <v>0.1</v>
      </c>
      <c r="K333" s="6">
        <f t="shared" si="36"/>
        <v>5</v>
      </c>
      <c r="L333" s="6">
        <f t="shared" si="37"/>
        <v>154.69999999999999</v>
      </c>
      <c r="M333" s="36">
        <f t="shared" si="33"/>
        <v>0.05</v>
      </c>
      <c r="N333" s="82">
        <f t="shared" si="34"/>
        <v>0</v>
      </c>
      <c r="O333" s="82">
        <f t="shared" si="35"/>
        <v>0</v>
      </c>
    </row>
    <row r="334" spans="3:15" hidden="1" x14ac:dyDescent="0.35">
      <c r="C334" s="82">
        <v>14</v>
      </c>
      <c r="D334" s="36">
        <v>0.25</v>
      </c>
      <c r="E334" s="6">
        <v>100</v>
      </c>
      <c r="F334" s="6">
        <v>110</v>
      </c>
      <c r="G334" s="6">
        <v>106</v>
      </c>
      <c r="H334" s="6">
        <v>196.5</v>
      </c>
      <c r="J334" s="36">
        <f t="shared" si="32"/>
        <v>0.1</v>
      </c>
      <c r="K334" s="6">
        <f t="shared" si="36"/>
        <v>6</v>
      </c>
      <c r="L334" s="6">
        <f t="shared" si="37"/>
        <v>182.5</v>
      </c>
      <c r="M334" s="36">
        <f t="shared" si="33"/>
        <v>0.06</v>
      </c>
      <c r="N334" s="82">
        <f t="shared" si="34"/>
        <v>0</v>
      </c>
      <c r="O334" s="82">
        <f t="shared" si="35"/>
        <v>0</v>
      </c>
    </row>
    <row r="335" spans="3:15" hidden="1" x14ac:dyDescent="0.35">
      <c r="C335" s="82">
        <v>14</v>
      </c>
      <c r="D335" s="36">
        <v>0.25</v>
      </c>
      <c r="E335" s="6">
        <v>100</v>
      </c>
      <c r="F335" s="6">
        <v>110</v>
      </c>
      <c r="G335" s="6">
        <v>107</v>
      </c>
      <c r="H335" s="6">
        <v>224.2</v>
      </c>
      <c r="J335" s="36">
        <f t="shared" si="32"/>
        <v>0.1</v>
      </c>
      <c r="K335" s="6">
        <f t="shared" si="36"/>
        <v>7</v>
      </c>
      <c r="L335" s="6">
        <f t="shared" si="37"/>
        <v>210.2</v>
      </c>
      <c r="M335" s="36">
        <f t="shared" si="33"/>
        <v>7.0000000000000007E-2</v>
      </c>
      <c r="N335" s="82">
        <f t="shared" si="34"/>
        <v>0</v>
      </c>
      <c r="O335" s="82">
        <f t="shared" si="35"/>
        <v>0</v>
      </c>
    </row>
    <row r="336" spans="3:15" hidden="1" x14ac:dyDescent="0.35">
      <c r="C336" s="82">
        <v>14</v>
      </c>
      <c r="D336" s="36">
        <v>0.25</v>
      </c>
      <c r="E336" s="6">
        <v>100</v>
      </c>
      <c r="F336" s="6">
        <v>110</v>
      </c>
      <c r="G336" s="6">
        <v>108</v>
      </c>
      <c r="H336" s="6">
        <v>252</v>
      </c>
      <c r="J336" s="36">
        <f t="shared" si="32"/>
        <v>0.1</v>
      </c>
      <c r="K336" s="6">
        <f t="shared" si="36"/>
        <v>8</v>
      </c>
      <c r="L336" s="6">
        <f t="shared" si="37"/>
        <v>238</v>
      </c>
      <c r="M336" s="36">
        <f t="shared" si="33"/>
        <v>0.08</v>
      </c>
      <c r="N336" s="82">
        <f t="shared" si="34"/>
        <v>0</v>
      </c>
      <c r="O336" s="82">
        <f t="shared" si="35"/>
        <v>0</v>
      </c>
    </row>
    <row r="337" spans="3:15" hidden="1" x14ac:dyDescent="0.35">
      <c r="C337" s="82">
        <v>14</v>
      </c>
      <c r="D337" s="36">
        <v>0.25</v>
      </c>
      <c r="E337" s="6">
        <v>100</v>
      </c>
      <c r="F337" s="6">
        <v>110</v>
      </c>
      <c r="G337" s="6">
        <v>109</v>
      </c>
      <c r="H337" s="6">
        <v>279.8</v>
      </c>
      <c r="J337" s="36">
        <f t="shared" si="32"/>
        <v>0.1</v>
      </c>
      <c r="K337" s="6">
        <f t="shared" si="36"/>
        <v>9</v>
      </c>
      <c r="L337" s="6">
        <f t="shared" si="37"/>
        <v>265.8</v>
      </c>
      <c r="M337" s="36">
        <f t="shared" si="33"/>
        <v>0.09</v>
      </c>
      <c r="N337" s="82">
        <f t="shared" si="34"/>
        <v>0</v>
      </c>
      <c r="O337" s="82">
        <f t="shared" si="35"/>
        <v>0</v>
      </c>
    </row>
    <row r="338" spans="3:15" hidden="1" x14ac:dyDescent="0.35">
      <c r="C338" s="82">
        <v>14</v>
      </c>
      <c r="D338" s="36">
        <v>0.25</v>
      </c>
      <c r="E338" s="6">
        <v>100</v>
      </c>
      <c r="F338" s="6">
        <v>110</v>
      </c>
      <c r="G338" s="6">
        <v>110</v>
      </c>
      <c r="H338" s="6">
        <v>307.7</v>
      </c>
      <c r="J338" s="36">
        <f t="shared" ref="J338:J401" si="38">(F338-E338)/E338</f>
        <v>0.1</v>
      </c>
      <c r="K338" s="6">
        <f t="shared" si="36"/>
        <v>10</v>
      </c>
      <c r="L338" s="6">
        <f t="shared" si="37"/>
        <v>293.7</v>
      </c>
      <c r="M338" s="36">
        <f t="shared" ref="M338:M401" si="39">K338/E338</f>
        <v>0.1</v>
      </c>
      <c r="N338" s="82">
        <f t="shared" ref="N338:N401" si="40">IF(M338=J338,1,0)</f>
        <v>1</v>
      </c>
      <c r="O338" s="82">
        <f t="shared" ref="O338:O401" si="41">IF(J338=0,0,IF(M338/J338=2,1,0))</f>
        <v>0</v>
      </c>
    </row>
    <row r="339" spans="3:15" hidden="1" x14ac:dyDescent="0.35">
      <c r="C339" s="82">
        <v>14</v>
      </c>
      <c r="D339" s="36">
        <v>0.25</v>
      </c>
      <c r="E339" s="6">
        <v>100</v>
      </c>
      <c r="F339" s="6">
        <v>110</v>
      </c>
      <c r="G339" s="6">
        <v>115</v>
      </c>
      <c r="H339" s="6">
        <v>448.1</v>
      </c>
      <c r="J339" s="36">
        <f t="shared" si="38"/>
        <v>0.1</v>
      </c>
      <c r="K339" s="6">
        <f t="shared" si="36"/>
        <v>15</v>
      </c>
      <c r="L339" s="6">
        <f t="shared" si="37"/>
        <v>434.1</v>
      </c>
      <c r="M339" s="36">
        <f t="shared" si="39"/>
        <v>0.15</v>
      </c>
      <c r="N339" s="82">
        <f t="shared" si="40"/>
        <v>0</v>
      </c>
      <c r="O339" s="82">
        <f t="shared" si="41"/>
        <v>0</v>
      </c>
    </row>
    <row r="340" spans="3:15" hidden="1" x14ac:dyDescent="0.35">
      <c r="C340" s="82">
        <v>14</v>
      </c>
      <c r="D340" s="36">
        <v>0.25</v>
      </c>
      <c r="E340" s="6">
        <v>100</v>
      </c>
      <c r="F340" s="6">
        <v>110</v>
      </c>
      <c r="G340" s="6">
        <v>120</v>
      </c>
      <c r="H340" s="6">
        <v>589.5</v>
      </c>
      <c r="J340" s="36">
        <f t="shared" si="38"/>
        <v>0.1</v>
      </c>
      <c r="K340" s="6">
        <f t="shared" si="36"/>
        <v>20</v>
      </c>
      <c r="L340" s="6">
        <f t="shared" si="37"/>
        <v>575.5</v>
      </c>
      <c r="M340" s="36">
        <f t="shared" si="39"/>
        <v>0.2</v>
      </c>
      <c r="N340" s="82">
        <f t="shared" si="40"/>
        <v>0</v>
      </c>
      <c r="O340" s="82">
        <f t="shared" si="41"/>
        <v>1</v>
      </c>
    </row>
    <row r="341" spans="3:15" hidden="1" x14ac:dyDescent="0.35">
      <c r="C341" s="82">
        <v>14</v>
      </c>
      <c r="D341" s="36">
        <v>0.25</v>
      </c>
      <c r="E341" s="6">
        <v>100</v>
      </c>
      <c r="F341" s="6">
        <v>110</v>
      </c>
      <c r="G341" s="6">
        <v>125</v>
      </c>
      <c r="H341" s="6">
        <v>731</v>
      </c>
      <c r="J341" s="36">
        <f t="shared" si="38"/>
        <v>0.1</v>
      </c>
      <c r="K341" s="6">
        <f t="shared" si="36"/>
        <v>25</v>
      </c>
      <c r="L341" s="6">
        <f t="shared" si="37"/>
        <v>717</v>
      </c>
      <c r="M341" s="36">
        <f t="shared" si="39"/>
        <v>0.25</v>
      </c>
      <c r="N341" s="82">
        <f t="shared" si="40"/>
        <v>0</v>
      </c>
      <c r="O341" s="82">
        <f t="shared" si="41"/>
        <v>0</v>
      </c>
    </row>
    <row r="342" spans="3:15" hidden="1" x14ac:dyDescent="0.35">
      <c r="C342" s="82">
        <v>14</v>
      </c>
      <c r="D342" s="36">
        <v>0.25</v>
      </c>
      <c r="E342" s="6">
        <v>100</v>
      </c>
      <c r="F342" s="6">
        <v>115</v>
      </c>
      <c r="G342" s="6">
        <v>101</v>
      </c>
      <c r="H342" s="6">
        <v>89.1</v>
      </c>
      <c r="J342" s="36">
        <f t="shared" si="38"/>
        <v>0.15</v>
      </c>
      <c r="K342" s="6">
        <f t="shared" si="36"/>
        <v>1</v>
      </c>
      <c r="L342" s="6">
        <f t="shared" si="37"/>
        <v>75.099999999999994</v>
      </c>
      <c r="M342" s="36">
        <f t="shared" si="39"/>
        <v>0.01</v>
      </c>
      <c r="N342" s="82">
        <f t="shared" si="40"/>
        <v>0</v>
      </c>
      <c r="O342" s="82">
        <f t="shared" si="41"/>
        <v>0</v>
      </c>
    </row>
    <row r="343" spans="3:15" hidden="1" x14ac:dyDescent="0.35">
      <c r="C343" s="82">
        <v>14</v>
      </c>
      <c r="D343" s="36">
        <v>0.25</v>
      </c>
      <c r="E343" s="6">
        <v>100</v>
      </c>
      <c r="F343" s="6">
        <v>115</v>
      </c>
      <c r="G343" s="6">
        <v>102</v>
      </c>
      <c r="H343" s="6">
        <v>134.4</v>
      </c>
      <c r="J343" s="36">
        <f t="shared" si="38"/>
        <v>0.15</v>
      </c>
      <c r="K343" s="6">
        <f t="shared" si="36"/>
        <v>2</v>
      </c>
      <c r="L343" s="6">
        <f t="shared" si="37"/>
        <v>120.4</v>
      </c>
      <c r="M343" s="36">
        <f t="shared" si="39"/>
        <v>0.02</v>
      </c>
      <c r="N343" s="82">
        <f t="shared" si="40"/>
        <v>0</v>
      </c>
      <c r="O343" s="82">
        <f t="shared" si="41"/>
        <v>0</v>
      </c>
    </row>
    <row r="344" spans="3:15" hidden="1" x14ac:dyDescent="0.35">
      <c r="C344" s="82">
        <v>14</v>
      </c>
      <c r="D344" s="36">
        <v>0.25</v>
      </c>
      <c r="E344" s="6">
        <v>100</v>
      </c>
      <c r="F344" s="6">
        <v>115</v>
      </c>
      <c r="G344" s="6">
        <v>103</v>
      </c>
      <c r="H344" s="6">
        <v>176</v>
      </c>
      <c r="J344" s="36">
        <f t="shared" si="38"/>
        <v>0.15</v>
      </c>
      <c r="K344" s="6">
        <f t="shared" si="36"/>
        <v>3</v>
      </c>
      <c r="L344" s="6">
        <f t="shared" si="37"/>
        <v>162</v>
      </c>
      <c r="M344" s="36">
        <f t="shared" si="39"/>
        <v>0.03</v>
      </c>
      <c r="N344" s="82">
        <f t="shared" si="40"/>
        <v>0</v>
      </c>
      <c r="O344" s="82">
        <f t="shared" si="41"/>
        <v>0</v>
      </c>
    </row>
    <row r="345" spans="3:15" hidden="1" x14ac:dyDescent="0.35">
      <c r="C345" s="82">
        <v>14</v>
      </c>
      <c r="D345" s="36">
        <v>0.25</v>
      </c>
      <c r="E345" s="6">
        <v>100</v>
      </c>
      <c r="F345" s="6">
        <v>115</v>
      </c>
      <c r="G345" s="6">
        <v>104</v>
      </c>
      <c r="H345" s="6">
        <v>216</v>
      </c>
      <c r="J345" s="36">
        <f t="shared" si="38"/>
        <v>0.15</v>
      </c>
      <c r="K345" s="6">
        <f t="shared" si="36"/>
        <v>4</v>
      </c>
      <c r="L345" s="6">
        <f t="shared" si="37"/>
        <v>202</v>
      </c>
      <c r="M345" s="36">
        <f t="shared" si="39"/>
        <v>0.04</v>
      </c>
      <c r="N345" s="82">
        <f t="shared" si="40"/>
        <v>0</v>
      </c>
      <c r="O345" s="82">
        <f t="shared" si="41"/>
        <v>0</v>
      </c>
    </row>
    <row r="346" spans="3:15" hidden="1" x14ac:dyDescent="0.35">
      <c r="C346" s="82">
        <v>14</v>
      </c>
      <c r="D346" s="36">
        <v>0.25</v>
      </c>
      <c r="E346" s="6">
        <v>100</v>
      </c>
      <c r="F346" s="6">
        <v>115</v>
      </c>
      <c r="G346" s="6">
        <v>105</v>
      </c>
      <c r="H346" s="6">
        <v>255</v>
      </c>
      <c r="J346" s="36">
        <f t="shared" si="38"/>
        <v>0.15</v>
      </c>
      <c r="K346" s="6">
        <f t="shared" si="36"/>
        <v>5</v>
      </c>
      <c r="L346" s="6">
        <f t="shared" si="37"/>
        <v>241</v>
      </c>
      <c r="M346" s="36">
        <f t="shared" si="39"/>
        <v>0.05</v>
      </c>
      <c r="N346" s="82">
        <f t="shared" si="40"/>
        <v>0</v>
      </c>
      <c r="O346" s="82">
        <f t="shared" si="41"/>
        <v>0</v>
      </c>
    </row>
    <row r="347" spans="3:15" hidden="1" x14ac:dyDescent="0.35">
      <c r="C347" s="82">
        <v>14</v>
      </c>
      <c r="D347" s="36">
        <v>0.25</v>
      </c>
      <c r="E347" s="6">
        <v>100</v>
      </c>
      <c r="F347" s="6">
        <v>115</v>
      </c>
      <c r="G347" s="6">
        <v>106</v>
      </c>
      <c r="H347" s="6">
        <v>293.60000000000002</v>
      </c>
      <c r="J347" s="36">
        <f t="shared" si="38"/>
        <v>0.15</v>
      </c>
      <c r="K347" s="6">
        <f t="shared" si="36"/>
        <v>6</v>
      </c>
      <c r="L347" s="6">
        <f t="shared" si="37"/>
        <v>279.60000000000002</v>
      </c>
      <c r="M347" s="36">
        <f t="shared" si="39"/>
        <v>0.06</v>
      </c>
      <c r="N347" s="82">
        <f t="shared" si="40"/>
        <v>0</v>
      </c>
      <c r="O347" s="82">
        <f t="shared" si="41"/>
        <v>0</v>
      </c>
    </row>
    <row r="348" spans="3:15" hidden="1" x14ac:dyDescent="0.35">
      <c r="C348" s="82">
        <v>14</v>
      </c>
      <c r="D348" s="36">
        <v>0.25</v>
      </c>
      <c r="E348" s="6">
        <v>100</v>
      </c>
      <c r="F348" s="6">
        <v>115</v>
      </c>
      <c r="G348" s="6">
        <v>107</v>
      </c>
      <c r="H348" s="6">
        <v>331.7</v>
      </c>
      <c r="J348" s="36">
        <f t="shared" si="38"/>
        <v>0.15</v>
      </c>
      <c r="K348" s="6">
        <f t="shared" si="36"/>
        <v>7</v>
      </c>
      <c r="L348" s="6">
        <f t="shared" si="37"/>
        <v>317.7</v>
      </c>
      <c r="M348" s="36">
        <f t="shared" si="39"/>
        <v>7.0000000000000007E-2</v>
      </c>
      <c r="N348" s="82">
        <f t="shared" si="40"/>
        <v>0</v>
      </c>
      <c r="O348" s="82">
        <f t="shared" si="41"/>
        <v>0</v>
      </c>
    </row>
    <row r="349" spans="3:15" hidden="1" x14ac:dyDescent="0.35">
      <c r="C349" s="82">
        <v>14</v>
      </c>
      <c r="D349" s="36">
        <v>0.25</v>
      </c>
      <c r="E349" s="6">
        <v>100</v>
      </c>
      <c r="F349" s="6">
        <v>115</v>
      </c>
      <c r="G349" s="6">
        <v>108</v>
      </c>
      <c r="H349" s="6">
        <v>369.5</v>
      </c>
      <c r="J349" s="36">
        <f t="shared" si="38"/>
        <v>0.15</v>
      </c>
      <c r="K349" s="6">
        <f t="shared" si="36"/>
        <v>8</v>
      </c>
      <c r="L349" s="6">
        <f t="shared" si="37"/>
        <v>355.5</v>
      </c>
      <c r="M349" s="36">
        <f t="shared" si="39"/>
        <v>0.08</v>
      </c>
      <c r="N349" s="82">
        <f t="shared" si="40"/>
        <v>0</v>
      </c>
      <c r="O349" s="82">
        <f t="shared" si="41"/>
        <v>0</v>
      </c>
    </row>
    <row r="350" spans="3:15" hidden="1" x14ac:dyDescent="0.35">
      <c r="C350" s="82">
        <v>14</v>
      </c>
      <c r="D350" s="36">
        <v>0.25</v>
      </c>
      <c r="E350" s="6">
        <v>100</v>
      </c>
      <c r="F350" s="6">
        <v>115</v>
      </c>
      <c r="G350" s="6">
        <v>109</v>
      </c>
      <c r="H350" s="6">
        <v>407.2</v>
      </c>
      <c r="J350" s="36">
        <f t="shared" si="38"/>
        <v>0.15</v>
      </c>
      <c r="K350" s="6">
        <f t="shared" si="36"/>
        <v>9</v>
      </c>
      <c r="L350" s="6">
        <f t="shared" si="37"/>
        <v>393.2</v>
      </c>
      <c r="M350" s="36">
        <f t="shared" si="39"/>
        <v>0.09</v>
      </c>
      <c r="N350" s="82">
        <f t="shared" si="40"/>
        <v>0</v>
      </c>
      <c r="O350" s="82">
        <f t="shared" si="41"/>
        <v>0</v>
      </c>
    </row>
    <row r="351" spans="3:15" hidden="1" x14ac:dyDescent="0.35">
      <c r="C351" s="82">
        <v>14</v>
      </c>
      <c r="D351" s="36">
        <v>0.25</v>
      </c>
      <c r="E351" s="6">
        <v>100</v>
      </c>
      <c r="F351" s="6">
        <v>115</v>
      </c>
      <c r="G351" s="6">
        <v>110</v>
      </c>
      <c r="H351" s="6">
        <v>444.7</v>
      </c>
      <c r="J351" s="36">
        <f t="shared" si="38"/>
        <v>0.15</v>
      </c>
      <c r="K351" s="6">
        <f t="shared" si="36"/>
        <v>10</v>
      </c>
      <c r="L351" s="6">
        <f t="shared" si="37"/>
        <v>430.7</v>
      </c>
      <c r="M351" s="36">
        <f t="shared" si="39"/>
        <v>0.1</v>
      </c>
      <c r="N351" s="82">
        <f t="shared" si="40"/>
        <v>0</v>
      </c>
      <c r="O351" s="82">
        <f t="shared" si="41"/>
        <v>0</v>
      </c>
    </row>
    <row r="352" spans="3:15" hidden="1" x14ac:dyDescent="0.35">
      <c r="C352" s="82">
        <v>14</v>
      </c>
      <c r="D352" s="36">
        <v>0.25</v>
      </c>
      <c r="E352" s="6">
        <v>100</v>
      </c>
      <c r="F352" s="6">
        <v>115</v>
      </c>
      <c r="G352" s="6">
        <v>115</v>
      </c>
      <c r="H352" s="6">
        <v>630.20000000000005</v>
      </c>
      <c r="J352" s="36">
        <f t="shared" si="38"/>
        <v>0.15</v>
      </c>
      <c r="K352" s="6">
        <f t="shared" si="36"/>
        <v>15</v>
      </c>
      <c r="L352" s="6">
        <f t="shared" si="37"/>
        <v>616.20000000000005</v>
      </c>
      <c r="M352" s="36">
        <f t="shared" si="39"/>
        <v>0.15</v>
      </c>
      <c r="N352" s="82">
        <f t="shared" si="40"/>
        <v>1</v>
      </c>
      <c r="O352" s="82">
        <f t="shared" si="41"/>
        <v>0</v>
      </c>
    </row>
    <row r="353" spans="3:15" hidden="1" x14ac:dyDescent="0.35">
      <c r="C353" s="82">
        <v>14</v>
      </c>
      <c r="D353" s="36">
        <v>0.25</v>
      </c>
      <c r="E353" s="6">
        <v>100</v>
      </c>
      <c r="F353" s="6">
        <v>115</v>
      </c>
      <c r="G353" s="6">
        <v>120</v>
      </c>
      <c r="H353" s="6">
        <v>813.3</v>
      </c>
      <c r="J353" s="36">
        <f t="shared" si="38"/>
        <v>0.15</v>
      </c>
      <c r="K353" s="6">
        <f t="shared" si="36"/>
        <v>20</v>
      </c>
      <c r="L353" s="6">
        <f t="shared" si="37"/>
        <v>799.3</v>
      </c>
      <c r="M353" s="36">
        <f t="shared" si="39"/>
        <v>0.2</v>
      </c>
      <c r="N353" s="82">
        <f t="shared" si="40"/>
        <v>0</v>
      </c>
      <c r="O353" s="82">
        <f t="shared" si="41"/>
        <v>0</v>
      </c>
    </row>
    <row r="354" spans="3:15" hidden="1" x14ac:dyDescent="0.35">
      <c r="C354" s="82">
        <v>14</v>
      </c>
      <c r="D354" s="36">
        <v>0.25</v>
      </c>
      <c r="E354" s="6">
        <v>100</v>
      </c>
      <c r="F354" s="6">
        <v>115</v>
      </c>
      <c r="G354" s="6">
        <v>125</v>
      </c>
      <c r="H354" s="6">
        <v>993.9</v>
      </c>
      <c r="J354" s="36">
        <f t="shared" si="38"/>
        <v>0.15</v>
      </c>
      <c r="K354" s="6">
        <f t="shared" si="36"/>
        <v>25</v>
      </c>
      <c r="L354" s="6">
        <f t="shared" si="37"/>
        <v>979.9</v>
      </c>
      <c r="M354" s="36">
        <f t="shared" si="39"/>
        <v>0.25</v>
      </c>
      <c r="N354" s="82">
        <f t="shared" si="40"/>
        <v>0</v>
      </c>
      <c r="O354" s="82">
        <f t="shared" si="41"/>
        <v>0</v>
      </c>
    </row>
    <row r="355" spans="3:15" hidden="1" x14ac:dyDescent="0.35">
      <c r="C355" s="82">
        <v>14</v>
      </c>
      <c r="D355" s="36">
        <v>0.25</v>
      </c>
      <c r="E355" s="6">
        <v>100</v>
      </c>
      <c r="F355" s="6">
        <v>120</v>
      </c>
      <c r="G355" s="6">
        <v>101</v>
      </c>
      <c r="H355" s="6">
        <v>129.5</v>
      </c>
      <c r="J355" s="36">
        <f t="shared" si="38"/>
        <v>0.2</v>
      </c>
      <c r="K355" s="6">
        <f t="shared" si="36"/>
        <v>1</v>
      </c>
      <c r="L355" s="6">
        <f t="shared" si="37"/>
        <v>115.5</v>
      </c>
      <c r="M355" s="36">
        <f t="shared" si="39"/>
        <v>0.01</v>
      </c>
      <c r="N355" s="82">
        <f t="shared" si="40"/>
        <v>0</v>
      </c>
      <c r="O355" s="82">
        <f t="shared" si="41"/>
        <v>0</v>
      </c>
    </row>
    <row r="356" spans="3:15" hidden="1" x14ac:dyDescent="0.35">
      <c r="C356" s="82">
        <v>14</v>
      </c>
      <c r="D356" s="36">
        <v>0.25</v>
      </c>
      <c r="E356" s="6">
        <v>100</v>
      </c>
      <c r="F356" s="6">
        <v>120</v>
      </c>
      <c r="G356" s="6">
        <v>102</v>
      </c>
      <c r="H356" s="6">
        <v>190.4</v>
      </c>
      <c r="J356" s="36">
        <f t="shared" si="38"/>
        <v>0.2</v>
      </c>
      <c r="K356" s="6">
        <f t="shared" si="36"/>
        <v>2</v>
      </c>
      <c r="L356" s="6">
        <f t="shared" si="37"/>
        <v>176.4</v>
      </c>
      <c r="M356" s="36">
        <f t="shared" si="39"/>
        <v>0.02</v>
      </c>
      <c r="N356" s="82">
        <f t="shared" si="40"/>
        <v>0</v>
      </c>
      <c r="O356" s="82">
        <f t="shared" si="41"/>
        <v>0</v>
      </c>
    </row>
    <row r="357" spans="3:15" hidden="1" x14ac:dyDescent="0.35">
      <c r="C357" s="82">
        <v>14</v>
      </c>
      <c r="D357" s="36">
        <v>0.25</v>
      </c>
      <c r="E357" s="6">
        <v>100</v>
      </c>
      <c r="F357" s="6">
        <v>120</v>
      </c>
      <c r="G357" s="6">
        <v>103</v>
      </c>
      <c r="H357" s="6">
        <v>245.1</v>
      </c>
      <c r="J357" s="36">
        <f t="shared" si="38"/>
        <v>0.2</v>
      </c>
      <c r="K357" s="6">
        <f t="shared" si="36"/>
        <v>3</v>
      </c>
      <c r="L357" s="6">
        <f t="shared" si="37"/>
        <v>231.1</v>
      </c>
      <c r="M357" s="36">
        <f t="shared" si="39"/>
        <v>0.03</v>
      </c>
      <c r="N357" s="82">
        <f t="shared" si="40"/>
        <v>0</v>
      </c>
      <c r="O357" s="82">
        <f t="shared" si="41"/>
        <v>0</v>
      </c>
    </row>
    <row r="358" spans="3:15" hidden="1" x14ac:dyDescent="0.35">
      <c r="C358" s="82">
        <v>14</v>
      </c>
      <c r="D358" s="36">
        <v>0.25</v>
      </c>
      <c r="E358" s="6">
        <v>100</v>
      </c>
      <c r="F358" s="6">
        <v>120</v>
      </c>
      <c r="G358" s="6">
        <v>104</v>
      </c>
      <c r="H358" s="6">
        <v>296.89999999999998</v>
      </c>
      <c r="J358" s="36">
        <f t="shared" si="38"/>
        <v>0.2</v>
      </c>
      <c r="K358" s="6">
        <f t="shared" si="36"/>
        <v>4</v>
      </c>
      <c r="L358" s="6">
        <f t="shared" si="37"/>
        <v>282.89999999999998</v>
      </c>
      <c r="M358" s="36">
        <f t="shared" si="39"/>
        <v>0.04</v>
      </c>
      <c r="N358" s="82">
        <f t="shared" si="40"/>
        <v>0</v>
      </c>
      <c r="O358" s="82">
        <f t="shared" si="41"/>
        <v>0</v>
      </c>
    </row>
    <row r="359" spans="3:15" hidden="1" x14ac:dyDescent="0.35">
      <c r="C359" s="82">
        <v>14</v>
      </c>
      <c r="D359" s="36">
        <v>0.25</v>
      </c>
      <c r="E359" s="6">
        <v>100</v>
      </c>
      <c r="F359" s="6">
        <v>120</v>
      </c>
      <c r="G359" s="6">
        <v>105</v>
      </c>
      <c r="H359" s="6">
        <v>347.1</v>
      </c>
      <c r="J359" s="36">
        <f t="shared" si="38"/>
        <v>0.2</v>
      </c>
      <c r="K359" s="6">
        <f t="shared" si="36"/>
        <v>5</v>
      </c>
      <c r="L359" s="6">
        <f t="shared" si="37"/>
        <v>333.1</v>
      </c>
      <c r="M359" s="36">
        <f t="shared" si="39"/>
        <v>0.05</v>
      </c>
      <c r="N359" s="82">
        <f t="shared" si="40"/>
        <v>0</v>
      </c>
      <c r="O359" s="82">
        <f t="shared" si="41"/>
        <v>0</v>
      </c>
    </row>
    <row r="360" spans="3:15" hidden="1" x14ac:dyDescent="0.35">
      <c r="C360" s="82">
        <v>14</v>
      </c>
      <c r="D360" s="36">
        <v>0.25</v>
      </c>
      <c r="E360" s="6">
        <v>100</v>
      </c>
      <c r="F360" s="6">
        <v>120</v>
      </c>
      <c r="G360" s="6">
        <v>106</v>
      </c>
      <c r="H360" s="6">
        <v>396</v>
      </c>
      <c r="J360" s="36">
        <f t="shared" si="38"/>
        <v>0.2</v>
      </c>
      <c r="K360" s="6">
        <f t="shared" si="36"/>
        <v>6</v>
      </c>
      <c r="L360" s="6">
        <f t="shared" si="37"/>
        <v>382</v>
      </c>
      <c r="M360" s="36">
        <f t="shared" si="39"/>
        <v>0.06</v>
      </c>
      <c r="N360" s="82">
        <f t="shared" si="40"/>
        <v>0</v>
      </c>
      <c r="O360" s="82">
        <f t="shared" si="41"/>
        <v>0</v>
      </c>
    </row>
    <row r="361" spans="3:15" hidden="1" x14ac:dyDescent="0.35">
      <c r="C361" s="82">
        <v>14</v>
      </c>
      <c r="D361" s="36">
        <v>0.25</v>
      </c>
      <c r="E361" s="6">
        <v>100</v>
      </c>
      <c r="F361" s="6">
        <v>120</v>
      </c>
      <c r="G361" s="6">
        <v>107</v>
      </c>
      <c r="H361" s="6">
        <v>444.2</v>
      </c>
      <c r="J361" s="36">
        <f t="shared" si="38"/>
        <v>0.2</v>
      </c>
      <c r="K361" s="6">
        <f t="shared" si="36"/>
        <v>7</v>
      </c>
      <c r="L361" s="6">
        <f t="shared" si="37"/>
        <v>430.2</v>
      </c>
      <c r="M361" s="36">
        <f t="shared" si="39"/>
        <v>7.0000000000000007E-2</v>
      </c>
      <c r="N361" s="82">
        <f t="shared" si="40"/>
        <v>0</v>
      </c>
      <c r="O361" s="82">
        <f t="shared" si="41"/>
        <v>0</v>
      </c>
    </row>
    <row r="362" spans="3:15" hidden="1" x14ac:dyDescent="0.35">
      <c r="C362" s="82">
        <v>14</v>
      </c>
      <c r="D362" s="36">
        <v>0.25</v>
      </c>
      <c r="E362" s="6">
        <v>100</v>
      </c>
      <c r="F362" s="6">
        <v>120</v>
      </c>
      <c r="G362" s="6">
        <v>108</v>
      </c>
      <c r="H362" s="6">
        <v>491.7</v>
      </c>
      <c r="J362" s="36">
        <f t="shared" si="38"/>
        <v>0.2</v>
      </c>
      <c r="K362" s="6">
        <f t="shared" si="36"/>
        <v>8</v>
      </c>
      <c r="L362" s="6">
        <f t="shared" si="37"/>
        <v>477.7</v>
      </c>
      <c r="M362" s="36">
        <f t="shared" si="39"/>
        <v>0.08</v>
      </c>
      <c r="N362" s="82">
        <f t="shared" si="40"/>
        <v>0</v>
      </c>
      <c r="O362" s="82">
        <f t="shared" si="41"/>
        <v>0</v>
      </c>
    </row>
    <row r="363" spans="3:15" hidden="1" x14ac:dyDescent="0.35">
      <c r="C363" s="82">
        <v>14</v>
      </c>
      <c r="D363" s="36">
        <v>0.25</v>
      </c>
      <c r="E363" s="6">
        <v>100</v>
      </c>
      <c r="F363" s="6">
        <v>120</v>
      </c>
      <c r="G363" s="6">
        <v>109</v>
      </c>
      <c r="H363" s="6">
        <v>538.70000000000005</v>
      </c>
      <c r="J363" s="36">
        <f t="shared" si="38"/>
        <v>0.2</v>
      </c>
      <c r="K363" s="6">
        <f t="shared" si="36"/>
        <v>9</v>
      </c>
      <c r="L363" s="6">
        <f t="shared" si="37"/>
        <v>524.70000000000005</v>
      </c>
      <c r="M363" s="36">
        <f t="shared" si="39"/>
        <v>0.09</v>
      </c>
      <c r="N363" s="82">
        <f t="shared" si="40"/>
        <v>0</v>
      </c>
      <c r="O363" s="82">
        <f t="shared" si="41"/>
        <v>0</v>
      </c>
    </row>
    <row r="364" spans="3:15" hidden="1" x14ac:dyDescent="0.35">
      <c r="C364" s="82">
        <v>14</v>
      </c>
      <c r="D364" s="36">
        <v>0.25</v>
      </c>
      <c r="E364" s="6">
        <v>100</v>
      </c>
      <c r="F364" s="6">
        <v>120</v>
      </c>
      <c r="G364" s="6">
        <v>110</v>
      </c>
      <c r="H364" s="6">
        <v>585.20000000000005</v>
      </c>
      <c r="J364" s="36">
        <f t="shared" si="38"/>
        <v>0.2</v>
      </c>
      <c r="K364" s="6">
        <f t="shared" si="36"/>
        <v>10</v>
      </c>
      <c r="L364" s="6">
        <f t="shared" si="37"/>
        <v>571.20000000000005</v>
      </c>
      <c r="M364" s="36">
        <f t="shared" si="39"/>
        <v>0.1</v>
      </c>
      <c r="N364" s="82">
        <f t="shared" si="40"/>
        <v>0</v>
      </c>
      <c r="O364" s="82">
        <f t="shared" si="41"/>
        <v>0</v>
      </c>
    </row>
    <row r="365" spans="3:15" hidden="1" x14ac:dyDescent="0.35">
      <c r="C365" s="82">
        <v>14</v>
      </c>
      <c r="D365" s="36">
        <v>0.25</v>
      </c>
      <c r="E365" s="6">
        <v>100</v>
      </c>
      <c r="F365" s="6">
        <v>120</v>
      </c>
      <c r="G365" s="6">
        <v>115</v>
      </c>
      <c r="H365" s="6">
        <v>813</v>
      </c>
      <c r="J365" s="36">
        <f t="shared" si="38"/>
        <v>0.2</v>
      </c>
      <c r="K365" s="6">
        <f t="shared" si="36"/>
        <v>15</v>
      </c>
      <c r="L365" s="6">
        <f t="shared" si="37"/>
        <v>799</v>
      </c>
      <c r="M365" s="36">
        <f t="shared" si="39"/>
        <v>0.15</v>
      </c>
      <c r="N365" s="82">
        <f t="shared" si="40"/>
        <v>0</v>
      </c>
      <c r="O365" s="82">
        <f t="shared" si="41"/>
        <v>0</v>
      </c>
    </row>
    <row r="366" spans="3:15" hidden="1" x14ac:dyDescent="0.35">
      <c r="C366" s="82">
        <v>14</v>
      </c>
      <c r="D366" s="36">
        <v>0.25</v>
      </c>
      <c r="E366" s="6">
        <v>100</v>
      </c>
      <c r="F366" s="6">
        <v>120</v>
      </c>
      <c r="G366" s="6">
        <v>120</v>
      </c>
      <c r="H366" s="6">
        <v>1034.4000000000001</v>
      </c>
      <c r="J366" s="36">
        <f t="shared" si="38"/>
        <v>0.2</v>
      </c>
      <c r="K366" s="6">
        <f t="shared" si="36"/>
        <v>20</v>
      </c>
      <c r="L366" s="6">
        <f t="shared" si="37"/>
        <v>1020.4000000000001</v>
      </c>
      <c r="M366" s="36">
        <f t="shared" si="39"/>
        <v>0.2</v>
      </c>
      <c r="N366" s="82">
        <f t="shared" si="40"/>
        <v>1</v>
      </c>
      <c r="O366" s="82">
        <f t="shared" si="41"/>
        <v>0</v>
      </c>
    </row>
    <row r="367" spans="3:15" hidden="1" x14ac:dyDescent="0.35">
      <c r="C367" s="82">
        <v>14</v>
      </c>
      <c r="D367" s="36">
        <v>0.25</v>
      </c>
      <c r="E367" s="6">
        <v>100</v>
      </c>
      <c r="F367" s="6">
        <v>120</v>
      </c>
      <c r="G367" s="6">
        <v>125</v>
      </c>
      <c r="H367" s="6">
        <v>1250.5999999999999</v>
      </c>
      <c r="J367" s="36">
        <f t="shared" si="38"/>
        <v>0.2</v>
      </c>
      <c r="K367" s="6">
        <f t="shared" si="36"/>
        <v>25</v>
      </c>
      <c r="L367" s="6">
        <f t="shared" si="37"/>
        <v>1236.5999999999999</v>
      </c>
      <c r="M367" s="36">
        <f t="shared" si="39"/>
        <v>0.25</v>
      </c>
      <c r="N367" s="82">
        <f t="shared" si="40"/>
        <v>0</v>
      </c>
      <c r="O367" s="82">
        <f t="shared" si="41"/>
        <v>0</v>
      </c>
    </row>
    <row r="368" spans="3:15" hidden="1" x14ac:dyDescent="0.35">
      <c r="C368" s="82">
        <v>21</v>
      </c>
      <c r="D368" s="36">
        <v>0.25</v>
      </c>
      <c r="E368" s="6">
        <v>100</v>
      </c>
      <c r="F368" s="6">
        <v>100</v>
      </c>
      <c r="G368" s="6">
        <v>101</v>
      </c>
      <c r="H368" s="6">
        <v>29.9</v>
      </c>
      <c r="J368" s="36">
        <f t="shared" si="38"/>
        <v>0</v>
      </c>
      <c r="K368" s="6">
        <f t="shared" ref="K368:K431" si="42">G368-E368</f>
        <v>1</v>
      </c>
      <c r="L368" s="6">
        <f t="shared" ref="L368:L431" si="43">H368-C368</f>
        <v>8.8999999999999986</v>
      </c>
      <c r="M368" s="36">
        <f t="shared" si="39"/>
        <v>0.01</v>
      </c>
      <c r="N368" s="82">
        <f t="shared" si="40"/>
        <v>0</v>
      </c>
      <c r="O368" s="82">
        <f t="shared" si="41"/>
        <v>0</v>
      </c>
    </row>
    <row r="369" spans="3:15" hidden="1" x14ac:dyDescent="0.35">
      <c r="C369" s="82">
        <v>21</v>
      </c>
      <c r="D369" s="36">
        <v>0.25</v>
      </c>
      <c r="E369" s="6">
        <v>100</v>
      </c>
      <c r="F369" s="6">
        <v>100</v>
      </c>
      <c r="G369" s="6">
        <v>102</v>
      </c>
      <c r="H369" s="6">
        <v>39.1</v>
      </c>
      <c r="J369" s="36">
        <f t="shared" si="38"/>
        <v>0</v>
      </c>
      <c r="K369" s="6">
        <f t="shared" si="42"/>
        <v>2</v>
      </c>
      <c r="L369" s="6">
        <f t="shared" si="43"/>
        <v>18.100000000000001</v>
      </c>
      <c r="M369" s="36">
        <f t="shared" si="39"/>
        <v>0.02</v>
      </c>
      <c r="N369" s="82">
        <f t="shared" si="40"/>
        <v>0</v>
      </c>
      <c r="O369" s="82">
        <f t="shared" si="41"/>
        <v>0</v>
      </c>
    </row>
    <row r="370" spans="3:15" hidden="1" x14ac:dyDescent="0.35">
      <c r="C370" s="82">
        <v>21</v>
      </c>
      <c r="D370" s="36">
        <v>0.25</v>
      </c>
      <c r="E370" s="6">
        <v>100</v>
      </c>
      <c r="F370" s="6">
        <v>100</v>
      </c>
      <c r="G370" s="6">
        <v>103</v>
      </c>
      <c r="H370" s="6">
        <v>48.9</v>
      </c>
      <c r="J370" s="36">
        <f t="shared" si="38"/>
        <v>0</v>
      </c>
      <c r="K370" s="6">
        <f t="shared" si="42"/>
        <v>3</v>
      </c>
      <c r="L370" s="6">
        <f t="shared" si="43"/>
        <v>27.9</v>
      </c>
      <c r="M370" s="36">
        <f t="shared" si="39"/>
        <v>0.03</v>
      </c>
      <c r="N370" s="82">
        <f t="shared" si="40"/>
        <v>0</v>
      </c>
      <c r="O370" s="82">
        <f t="shared" si="41"/>
        <v>0</v>
      </c>
    </row>
    <row r="371" spans="3:15" hidden="1" x14ac:dyDescent="0.35">
      <c r="C371" s="82">
        <v>21</v>
      </c>
      <c r="D371" s="36">
        <v>0.25</v>
      </c>
      <c r="E371" s="6">
        <v>100</v>
      </c>
      <c r="F371" s="6">
        <v>100</v>
      </c>
      <c r="G371" s="6">
        <v>104</v>
      </c>
      <c r="H371" s="6">
        <v>58.9</v>
      </c>
      <c r="J371" s="36">
        <f t="shared" si="38"/>
        <v>0</v>
      </c>
      <c r="K371" s="6">
        <f t="shared" si="42"/>
        <v>4</v>
      </c>
      <c r="L371" s="6">
        <f t="shared" si="43"/>
        <v>37.9</v>
      </c>
      <c r="M371" s="36">
        <f t="shared" si="39"/>
        <v>0.04</v>
      </c>
      <c r="N371" s="82">
        <f t="shared" si="40"/>
        <v>0</v>
      </c>
      <c r="O371" s="82">
        <f t="shared" si="41"/>
        <v>0</v>
      </c>
    </row>
    <row r="372" spans="3:15" hidden="1" x14ac:dyDescent="0.35">
      <c r="C372" s="82">
        <v>21</v>
      </c>
      <c r="D372" s="36">
        <v>0.25</v>
      </c>
      <c r="E372" s="6">
        <v>100</v>
      </c>
      <c r="F372" s="6">
        <v>100</v>
      </c>
      <c r="G372" s="6">
        <v>105</v>
      </c>
      <c r="H372" s="6">
        <v>69.400000000000006</v>
      </c>
      <c r="J372" s="36">
        <f t="shared" si="38"/>
        <v>0</v>
      </c>
      <c r="K372" s="6">
        <f t="shared" si="42"/>
        <v>5</v>
      </c>
      <c r="L372" s="6">
        <f t="shared" si="43"/>
        <v>48.400000000000006</v>
      </c>
      <c r="M372" s="36">
        <f t="shared" si="39"/>
        <v>0.05</v>
      </c>
      <c r="N372" s="82">
        <f t="shared" si="40"/>
        <v>0</v>
      </c>
      <c r="O372" s="82">
        <f t="shared" si="41"/>
        <v>0</v>
      </c>
    </row>
    <row r="373" spans="3:15" hidden="1" x14ac:dyDescent="0.35">
      <c r="C373" s="82">
        <v>21</v>
      </c>
      <c r="D373" s="36">
        <v>0.25</v>
      </c>
      <c r="E373" s="6">
        <v>100</v>
      </c>
      <c r="F373" s="6">
        <v>100</v>
      </c>
      <c r="G373" s="6">
        <v>106</v>
      </c>
      <c r="H373" s="6">
        <v>80.099999999999994</v>
      </c>
      <c r="J373" s="36">
        <f t="shared" si="38"/>
        <v>0</v>
      </c>
      <c r="K373" s="6">
        <f t="shared" si="42"/>
        <v>6</v>
      </c>
      <c r="L373" s="6">
        <f t="shared" si="43"/>
        <v>59.099999999999994</v>
      </c>
      <c r="M373" s="36">
        <f t="shared" si="39"/>
        <v>0.06</v>
      </c>
      <c r="N373" s="82">
        <f t="shared" si="40"/>
        <v>0</v>
      </c>
      <c r="O373" s="82">
        <f t="shared" si="41"/>
        <v>0</v>
      </c>
    </row>
    <row r="374" spans="3:15" hidden="1" x14ac:dyDescent="0.35">
      <c r="C374" s="82">
        <v>21</v>
      </c>
      <c r="D374" s="36">
        <v>0.25</v>
      </c>
      <c r="E374" s="6">
        <v>100</v>
      </c>
      <c r="F374" s="6">
        <v>100</v>
      </c>
      <c r="G374" s="6">
        <v>107</v>
      </c>
      <c r="H374" s="6">
        <v>91.2</v>
      </c>
      <c r="J374" s="36">
        <f t="shared" si="38"/>
        <v>0</v>
      </c>
      <c r="K374" s="6">
        <f t="shared" si="42"/>
        <v>7</v>
      </c>
      <c r="L374" s="6">
        <f t="shared" si="43"/>
        <v>70.2</v>
      </c>
      <c r="M374" s="36">
        <f t="shared" si="39"/>
        <v>7.0000000000000007E-2</v>
      </c>
      <c r="N374" s="82">
        <f t="shared" si="40"/>
        <v>0</v>
      </c>
      <c r="O374" s="82">
        <f t="shared" si="41"/>
        <v>0</v>
      </c>
    </row>
    <row r="375" spans="3:15" hidden="1" x14ac:dyDescent="0.35">
      <c r="C375" s="82">
        <v>21</v>
      </c>
      <c r="D375" s="36">
        <v>0.25</v>
      </c>
      <c r="E375" s="6">
        <v>100</v>
      </c>
      <c r="F375" s="6">
        <v>100</v>
      </c>
      <c r="G375" s="6">
        <v>108</v>
      </c>
      <c r="H375" s="6">
        <v>102.5</v>
      </c>
      <c r="J375" s="36">
        <f t="shared" si="38"/>
        <v>0</v>
      </c>
      <c r="K375" s="6">
        <f t="shared" si="42"/>
        <v>8</v>
      </c>
      <c r="L375" s="6">
        <f t="shared" si="43"/>
        <v>81.5</v>
      </c>
      <c r="M375" s="36">
        <f t="shared" si="39"/>
        <v>0.08</v>
      </c>
      <c r="N375" s="82">
        <f t="shared" si="40"/>
        <v>0</v>
      </c>
      <c r="O375" s="82">
        <f t="shared" si="41"/>
        <v>0</v>
      </c>
    </row>
    <row r="376" spans="3:15" hidden="1" x14ac:dyDescent="0.35">
      <c r="C376" s="82">
        <v>21</v>
      </c>
      <c r="D376" s="36">
        <v>0.25</v>
      </c>
      <c r="E376" s="6">
        <v>100</v>
      </c>
      <c r="F376" s="6">
        <v>100</v>
      </c>
      <c r="G376" s="6">
        <v>109</v>
      </c>
      <c r="H376" s="6">
        <v>114.1</v>
      </c>
      <c r="J376" s="36">
        <f t="shared" si="38"/>
        <v>0</v>
      </c>
      <c r="K376" s="6">
        <f t="shared" si="42"/>
        <v>9</v>
      </c>
      <c r="L376" s="6">
        <f t="shared" si="43"/>
        <v>93.1</v>
      </c>
      <c r="M376" s="36">
        <f t="shared" si="39"/>
        <v>0.09</v>
      </c>
      <c r="N376" s="82">
        <f t="shared" si="40"/>
        <v>0</v>
      </c>
      <c r="O376" s="82">
        <f t="shared" si="41"/>
        <v>0</v>
      </c>
    </row>
    <row r="377" spans="3:15" hidden="1" x14ac:dyDescent="0.35">
      <c r="C377" s="82">
        <v>21</v>
      </c>
      <c r="D377" s="36">
        <v>0.25</v>
      </c>
      <c r="E377" s="6">
        <v>100</v>
      </c>
      <c r="F377" s="6">
        <v>100</v>
      </c>
      <c r="G377" s="6">
        <v>110</v>
      </c>
      <c r="H377" s="6">
        <v>125.9</v>
      </c>
      <c r="J377" s="36">
        <f t="shared" si="38"/>
        <v>0</v>
      </c>
      <c r="K377" s="6">
        <f t="shared" si="42"/>
        <v>10</v>
      </c>
      <c r="L377" s="6">
        <f t="shared" si="43"/>
        <v>104.9</v>
      </c>
      <c r="M377" s="36">
        <f t="shared" si="39"/>
        <v>0.1</v>
      </c>
      <c r="N377" s="82">
        <f t="shared" si="40"/>
        <v>0</v>
      </c>
      <c r="O377" s="82">
        <f t="shared" si="41"/>
        <v>0</v>
      </c>
    </row>
    <row r="378" spans="3:15" hidden="1" x14ac:dyDescent="0.35">
      <c r="C378" s="82">
        <v>21</v>
      </c>
      <c r="D378" s="36">
        <v>0.25</v>
      </c>
      <c r="E378" s="6">
        <v>100</v>
      </c>
      <c r="F378" s="6">
        <v>100</v>
      </c>
      <c r="G378" s="6">
        <v>115</v>
      </c>
      <c r="H378" s="6">
        <v>187.9</v>
      </c>
      <c r="J378" s="36">
        <f t="shared" si="38"/>
        <v>0</v>
      </c>
      <c r="K378" s="6">
        <f t="shared" si="42"/>
        <v>15</v>
      </c>
      <c r="L378" s="6">
        <f t="shared" si="43"/>
        <v>166.9</v>
      </c>
      <c r="M378" s="36">
        <f t="shared" si="39"/>
        <v>0.15</v>
      </c>
      <c r="N378" s="82">
        <f t="shared" si="40"/>
        <v>0</v>
      </c>
      <c r="O378" s="82">
        <f t="shared" si="41"/>
        <v>0</v>
      </c>
    </row>
    <row r="379" spans="3:15" hidden="1" x14ac:dyDescent="0.35">
      <c r="C379" s="82">
        <v>21</v>
      </c>
      <c r="D379" s="36">
        <v>0.25</v>
      </c>
      <c r="E379" s="6">
        <v>100</v>
      </c>
      <c r="F379" s="6">
        <v>100</v>
      </c>
      <c r="G379" s="6">
        <v>120</v>
      </c>
      <c r="H379" s="6">
        <v>253.6</v>
      </c>
      <c r="J379" s="36">
        <f t="shared" si="38"/>
        <v>0</v>
      </c>
      <c r="K379" s="6">
        <f t="shared" si="42"/>
        <v>20</v>
      </c>
      <c r="L379" s="6">
        <f t="shared" si="43"/>
        <v>232.6</v>
      </c>
      <c r="M379" s="36">
        <f t="shared" si="39"/>
        <v>0.2</v>
      </c>
      <c r="N379" s="82">
        <f t="shared" si="40"/>
        <v>0</v>
      </c>
      <c r="O379" s="82">
        <f t="shared" si="41"/>
        <v>0</v>
      </c>
    </row>
    <row r="380" spans="3:15" hidden="1" x14ac:dyDescent="0.35">
      <c r="C380" s="82">
        <v>21</v>
      </c>
      <c r="D380" s="36">
        <v>0.25</v>
      </c>
      <c r="E380" s="6">
        <v>100</v>
      </c>
      <c r="F380" s="6">
        <v>100</v>
      </c>
      <c r="G380" s="6">
        <v>125</v>
      </c>
      <c r="H380" s="6">
        <v>322.10000000000002</v>
      </c>
      <c r="J380" s="36">
        <f t="shared" si="38"/>
        <v>0</v>
      </c>
      <c r="K380" s="6">
        <f t="shared" si="42"/>
        <v>25</v>
      </c>
      <c r="L380" s="6">
        <f t="shared" si="43"/>
        <v>301.10000000000002</v>
      </c>
      <c r="M380" s="36">
        <f t="shared" si="39"/>
        <v>0.25</v>
      </c>
      <c r="N380" s="82">
        <f t="shared" si="40"/>
        <v>0</v>
      </c>
      <c r="O380" s="82">
        <f t="shared" si="41"/>
        <v>0</v>
      </c>
    </row>
    <row r="381" spans="3:15" hidden="1" x14ac:dyDescent="0.35">
      <c r="C381" s="82">
        <v>21</v>
      </c>
      <c r="D381" s="36">
        <v>0.25</v>
      </c>
      <c r="E381" s="6">
        <v>100</v>
      </c>
      <c r="F381" s="6">
        <v>101</v>
      </c>
      <c r="G381" s="6">
        <v>101</v>
      </c>
      <c r="H381" s="6">
        <v>31.1</v>
      </c>
      <c r="J381" s="36">
        <f t="shared" si="38"/>
        <v>0.01</v>
      </c>
      <c r="K381" s="6">
        <f t="shared" si="42"/>
        <v>1</v>
      </c>
      <c r="L381" s="6">
        <f t="shared" si="43"/>
        <v>10.100000000000001</v>
      </c>
      <c r="M381" s="36">
        <f t="shared" si="39"/>
        <v>0.01</v>
      </c>
      <c r="N381" s="82">
        <f t="shared" si="40"/>
        <v>1</v>
      </c>
      <c r="O381" s="82">
        <f t="shared" si="41"/>
        <v>0</v>
      </c>
    </row>
    <row r="382" spans="3:15" hidden="1" x14ac:dyDescent="0.35">
      <c r="C382" s="82">
        <v>21</v>
      </c>
      <c r="D382" s="36">
        <v>0.25</v>
      </c>
      <c r="E382" s="6">
        <v>100</v>
      </c>
      <c r="F382" s="6">
        <v>101</v>
      </c>
      <c r="G382" s="6">
        <v>102</v>
      </c>
      <c r="H382" s="6">
        <v>41.6</v>
      </c>
      <c r="J382" s="36">
        <f t="shared" si="38"/>
        <v>0.01</v>
      </c>
      <c r="K382" s="6">
        <f t="shared" si="42"/>
        <v>2</v>
      </c>
      <c r="L382" s="6">
        <f t="shared" si="43"/>
        <v>20.6</v>
      </c>
      <c r="M382" s="36">
        <f t="shared" si="39"/>
        <v>0.02</v>
      </c>
      <c r="N382" s="82">
        <f t="shared" si="40"/>
        <v>0</v>
      </c>
      <c r="O382" s="82">
        <f t="shared" si="41"/>
        <v>1</v>
      </c>
    </row>
    <row r="383" spans="3:15" hidden="1" x14ac:dyDescent="0.35">
      <c r="C383" s="82">
        <v>21</v>
      </c>
      <c r="D383" s="36">
        <v>0.25</v>
      </c>
      <c r="E383" s="6">
        <v>100</v>
      </c>
      <c r="F383" s="6">
        <v>101</v>
      </c>
      <c r="G383" s="6">
        <v>103</v>
      </c>
      <c r="H383" s="6">
        <v>52.5</v>
      </c>
      <c r="J383" s="36">
        <f t="shared" si="38"/>
        <v>0.01</v>
      </c>
      <c r="K383" s="6">
        <f t="shared" si="42"/>
        <v>3</v>
      </c>
      <c r="L383" s="6">
        <f t="shared" si="43"/>
        <v>31.5</v>
      </c>
      <c r="M383" s="36">
        <f t="shared" si="39"/>
        <v>0.03</v>
      </c>
      <c r="N383" s="82">
        <f t="shared" si="40"/>
        <v>0</v>
      </c>
      <c r="O383" s="82">
        <f t="shared" si="41"/>
        <v>0</v>
      </c>
    </row>
    <row r="384" spans="3:15" hidden="1" x14ac:dyDescent="0.35">
      <c r="C384" s="82">
        <v>21</v>
      </c>
      <c r="D384" s="36">
        <v>0.25</v>
      </c>
      <c r="E384" s="6">
        <v>100</v>
      </c>
      <c r="F384" s="6">
        <v>101</v>
      </c>
      <c r="G384" s="6">
        <v>104</v>
      </c>
      <c r="H384" s="6">
        <v>63.8</v>
      </c>
      <c r="J384" s="36">
        <f t="shared" si="38"/>
        <v>0.01</v>
      </c>
      <c r="K384" s="6">
        <f t="shared" si="42"/>
        <v>4</v>
      </c>
      <c r="L384" s="6">
        <f t="shared" si="43"/>
        <v>42.8</v>
      </c>
      <c r="M384" s="36">
        <f t="shared" si="39"/>
        <v>0.04</v>
      </c>
      <c r="N384" s="82">
        <f t="shared" si="40"/>
        <v>0</v>
      </c>
      <c r="O384" s="82">
        <f t="shared" si="41"/>
        <v>0</v>
      </c>
    </row>
    <row r="385" spans="3:15" hidden="1" x14ac:dyDescent="0.35">
      <c r="C385" s="82">
        <v>21</v>
      </c>
      <c r="D385" s="36">
        <v>0.25</v>
      </c>
      <c r="E385" s="6">
        <v>100</v>
      </c>
      <c r="F385" s="6">
        <v>101</v>
      </c>
      <c r="G385" s="6">
        <v>105</v>
      </c>
      <c r="H385" s="6">
        <v>75.5</v>
      </c>
      <c r="J385" s="36">
        <f t="shared" si="38"/>
        <v>0.01</v>
      </c>
      <c r="K385" s="6">
        <f t="shared" si="42"/>
        <v>5</v>
      </c>
      <c r="L385" s="6">
        <f t="shared" si="43"/>
        <v>54.5</v>
      </c>
      <c r="M385" s="36">
        <f t="shared" si="39"/>
        <v>0.05</v>
      </c>
      <c r="N385" s="82">
        <f t="shared" si="40"/>
        <v>0</v>
      </c>
      <c r="O385" s="82">
        <f t="shared" si="41"/>
        <v>0</v>
      </c>
    </row>
    <row r="386" spans="3:15" hidden="1" x14ac:dyDescent="0.35">
      <c r="C386" s="82">
        <v>21</v>
      </c>
      <c r="D386" s="36">
        <v>0.25</v>
      </c>
      <c r="E386" s="6">
        <v>100</v>
      </c>
      <c r="F386" s="6">
        <v>101</v>
      </c>
      <c r="G386" s="6">
        <v>106</v>
      </c>
      <c r="H386" s="6">
        <v>87.5</v>
      </c>
      <c r="J386" s="36">
        <f t="shared" si="38"/>
        <v>0.01</v>
      </c>
      <c r="K386" s="6">
        <f t="shared" si="42"/>
        <v>6</v>
      </c>
      <c r="L386" s="6">
        <f t="shared" si="43"/>
        <v>66.5</v>
      </c>
      <c r="M386" s="36">
        <f t="shared" si="39"/>
        <v>0.06</v>
      </c>
      <c r="N386" s="82">
        <f t="shared" si="40"/>
        <v>0</v>
      </c>
      <c r="O386" s="82">
        <f t="shared" si="41"/>
        <v>0</v>
      </c>
    </row>
    <row r="387" spans="3:15" hidden="1" x14ac:dyDescent="0.35">
      <c r="C387" s="82">
        <v>21</v>
      </c>
      <c r="D387" s="36">
        <v>0.25</v>
      </c>
      <c r="E387" s="6">
        <v>100</v>
      </c>
      <c r="F387" s="6">
        <v>101</v>
      </c>
      <c r="G387" s="6">
        <v>107</v>
      </c>
      <c r="H387" s="6">
        <v>99.8</v>
      </c>
      <c r="J387" s="36">
        <f t="shared" si="38"/>
        <v>0.01</v>
      </c>
      <c r="K387" s="6">
        <f t="shared" si="42"/>
        <v>7</v>
      </c>
      <c r="L387" s="6">
        <f t="shared" si="43"/>
        <v>78.8</v>
      </c>
      <c r="M387" s="36">
        <f t="shared" si="39"/>
        <v>7.0000000000000007E-2</v>
      </c>
      <c r="N387" s="82">
        <f t="shared" si="40"/>
        <v>0</v>
      </c>
      <c r="O387" s="82">
        <f t="shared" si="41"/>
        <v>0</v>
      </c>
    </row>
    <row r="388" spans="3:15" hidden="1" x14ac:dyDescent="0.35">
      <c r="C388" s="82">
        <v>21</v>
      </c>
      <c r="D388" s="36">
        <v>0.25</v>
      </c>
      <c r="E388" s="6">
        <v>100</v>
      </c>
      <c r="F388" s="6">
        <v>101</v>
      </c>
      <c r="G388" s="6">
        <v>108</v>
      </c>
      <c r="H388" s="6">
        <v>112.4</v>
      </c>
      <c r="J388" s="36">
        <f t="shared" si="38"/>
        <v>0.01</v>
      </c>
      <c r="K388" s="6">
        <f t="shared" si="42"/>
        <v>8</v>
      </c>
      <c r="L388" s="6">
        <f t="shared" si="43"/>
        <v>91.4</v>
      </c>
      <c r="M388" s="36">
        <f t="shared" si="39"/>
        <v>0.08</v>
      </c>
      <c r="N388" s="82">
        <f t="shared" si="40"/>
        <v>0</v>
      </c>
      <c r="O388" s="82">
        <f t="shared" si="41"/>
        <v>0</v>
      </c>
    </row>
    <row r="389" spans="3:15" hidden="1" x14ac:dyDescent="0.35">
      <c r="C389" s="82">
        <v>21</v>
      </c>
      <c r="D389" s="36">
        <v>0.25</v>
      </c>
      <c r="E389" s="6">
        <v>100</v>
      </c>
      <c r="F389" s="6">
        <v>101</v>
      </c>
      <c r="G389" s="6">
        <v>109</v>
      </c>
      <c r="H389" s="6">
        <v>125.2</v>
      </c>
      <c r="J389" s="36">
        <f t="shared" si="38"/>
        <v>0.01</v>
      </c>
      <c r="K389" s="6">
        <f t="shared" si="42"/>
        <v>9</v>
      </c>
      <c r="L389" s="6">
        <f t="shared" si="43"/>
        <v>104.2</v>
      </c>
      <c r="M389" s="36">
        <f t="shared" si="39"/>
        <v>0.09</v>
      </c>
      <c r="N389" s="82">
        <f t="shared" si="40"/>
        <v>0</v>
      </c>
      <c r="O389" s="82">
        <f t="shared" si="41"/>
        <v>0</v>
      </c>
    </row>
    <row r="390" spans="3:15" hidden="1" x14ac:dyDescent="0.35">
      <c r="C390" s="82">
        <v>21</v>
      </c>
      <c r="D390" s="36">
        <v>0.25</v>
      </c>
      <c r="E390" s="6">
        <v>100</v>
      </c>
      <c r="F390" s="6">
        <v>101</v>
      </c>
      <c r="G390" s="6">
        <v>110</v>
      </c>
      <c r="H390" s="6">
        <v>138.30000000000001</v>
      </c>
      <c r="J390" s="36">
        <f t="shared" si="38"/>
        <v>0.01</v>
      </c>
      <c r="K390" s="6">
        <f t="shared" si="42"/>
        <v>10</v>
      </c>
      <c r="L390" s="6">
        <f t="shared" si="43"/>
        <v>117.30000000000001</v>
      </c>
      <c r="M390" s="36">
        <f t="shared" si="39"/>
        <v>0.1</v>
      </c>
      <c r="N390" s="82">
        <f t="shared" si="40"/>
        <v>0</v>
      </c>
      <c r="O390" s="82">
        <f t="shared" si="41"/>
        <v>0</v>
      </c>
    </row>
    <row r="391" spans="3:15" hidden="1" x14ac:dyDescent="0.35">
      <c r="C391" s="82">
        <v>21</v>
      </c>
      <c r="D391" s="36">
        <v>0.25</v>
      </c>
      <c r="E391" s="6">
        <v>100</v>
      </c>
      <c r="F391" s="6">
        <v>101</v>
      </c>
      <c r="G391" s="6">
        <v>115</v>
      </c>
      <c r="H391" s="6">
        <v>206.6</v>
      </c>
      <c r="J391" s="36">
        <f t="shared" si="38"/>
        <v>0.01</v>
      </c>
      <c r="K391" s="6">
        <f t="shared" si="42"/>
        <v>15</v>
      </c>
      <c r="L391" s="6">
        <f t="shared" si="43"/>
        <v>185.6</v>
      </c>
      <c r="M391" s="36">
        <f t="shared" si="39"/>
        <v>0.15</v>
      </c>
      <c r="N391" s="82">
        <f t="shared" si="40"/>
        <v>0</v>
      </c>
      <c r="O391" s="82">
        <f t="shared" si="41"/>
        <v>0</v>
      </c>
    </row>
    <row r="392" spans="3:15" hidden="1" x14ac:dyDescent="0.35">
      <c r="C392" s="82">
        <v>21</v>
      </c>
      <c r="D392" s="36">
        <v>0.25</v>
      </c>
      <c r="E392" s="6">
        <v>100</v>
      </c>
      <c r="F392" s="6">
        <v>101</v>
      </c>
      <c r="G392" s="6">
        <v>120</v>
      </c>
      <c r="H392" s="6">
        <v>278.8</v>
      </c>
      <c r="J392" s="36">
        <f t="shared" si="38"/>
        <v>0.01</v>
      </c>
      <c r="K392" s="6">
        <f t="shared" si="42"/>
        <v>20</v>
      </c>
      <c r="L392" s="6">
        <f t="shared" si="43"/>
        <v>257.8</v>
      </c>
      <c r="M392" s="36">
        <f t="shared" si="39"/>
        <v>0.2</v>
      </c>
      <c r="N392" s="82">
        <f t="shared" si="40"/>
        <v>0</v>
      </c>
      <c r="O392" s="82">
        <f t="shared" si="41"/>
        <v>0</v>
      </c>
    </row>
    <row r="393" spans="3:15" hidden="1" x14ac:dyDescent="0.35">
      <c r="C393" s="82">
        <v>21</v>
      </c>
      <c r="D393" s="36">
        <v>0.25</v>
      </c>
      <c r="E393" s="6">
        <v>100</v>
      </c>
      <c r="F393" s="6">
        <v>101</v>
      </c>
      <c r="G393" s="6">
        <v>125</v>
      </c>
      <c r="H393" s="6">
        <v>353.5</v>
      </c>
      <c r="J393" s="36">
        <f t="shared" si="38"/>
        <v>0.01</v>
      </c>
      <c r="K393" s="6">
        <f t="shared" si="42"/>
        <v>25</v>
      </c>
      <c r="L393" s="6">
        <f t="shared" si="43"/>
        <v>332.5</v>
      </c>
      <c r="M393" s="36">
        <f t="shared" si="39"/>
        <v>0.25</v>
      </c>
      <c r="N393" s="82">
        <f t="shared" si="40"/>
        <v>0</v>
      </c>
      <c r="O393" s="82">
        <f t="shared" si="41"/>
        <v>0</v>
      </c>
    </row>
    <row r="394" spans="3:15" hidden="1" x14ac:dyDescent="0.35">
      <c r="C394" s="82">
        <v>21</v>
      </c>
      <c r="D394" s="36">
        <v>0.25</v>
      </c>
      <c r="E394" s="6">
        <v>100</v>
      </c>
      <c r="F394" s="6">
        <v>102</v>
      </c>
      <c r="G394" s="6">
        <v>101</v>
      </c>
      <c r="H394" s="6">
        <v>32.6</v>
      </c>
      <c r="J394" s="36">
        <f t="shared" si="38"/>
        <v>0.02</v>
      </c>
      <c r="K394" s="6">
        <f t="shared" si="42"/>
        <v>1</v>
      </c>
      <c r="L394" s="6">
        <f t="shared" si="43"/>
        <v>11.600000000000001</v>
      </c>
      <c r="M394" s="36">
        <f t="shared" si="39"/>
        <v>0.01</v>
      </c>
      <c r="N394" s="82">
        <f t="shared" si="40"/>
        <v>0</v>
      </c>
      <c r="O394" s="82">
        <f t="shared" si="41"/>
        <v>0</v>
      </c>
    </row>
    <row r="395" spans="3:15" hidden="1" x14ac:dyDescent="0.35">
      <c r="C395" s="82">
        <v>21</v>
      </c>
      <c r="D395" s="36">
        <v>0.25</v>
      </c>
      <c r="E395" s="6">
        <v>100</v>
      </c>
      <c r="F395" s="6">
        <v>102</v>
      </c>
      <c r="G395" s="6">
        <v>102</v>
      </c>
      <c r="H395" s="6">
        <v>44.4</v>
      </c>
      <c r="J395" s="36">
        <f t="shared" si="38"/>
        <v>0.02</v>
      </c>
      <c r="K395" s="6">
        <f t="shared" si="42"/>
        <v>2</v>
      </c>
      <c r="L395" s="6">
        <f t="shared" si="43"/>
        <v>23.4</v>
      </c>
      <c r="M395" s="36">
        <f t="shared" si="39"/>
        <v>0.02</v>
      </c>
      <c r="N395" s="82">
        <f t="shared" si="40"/>
        <v>1</v>
      </c>
      <c r="O395" s="82">
        <f t="shared" si="41"/>
        <v>0</v>
      </c>
    </row>
    <row r="396" spans="3:15" hidden="1" x14ac:dyDescent="0.35">
      <c r="C396" s="82">
        <v>21</v>
      </c>
      <c r="D396" s="36">
        <v>0.25</v>
      </c>
      <c r="E396" s="6">
        <v>100</v>
      </c>
      <c r="F396" s="6">
        <v>102</v>
      </c>
      <c r="G396" s="6">
        <v>103</v>
      </c>
      <c r="H396" s="6">
        <v>56.7</v>
      </c>
      <c r="J396" s="36">
        <f t="shared" si="38"/>
        <v>0.02</v>
      </c>
      <c r="K396" s="6">
        <f t="shared" si="42"/>
        <v>3</v>
      </c>
      <c r="L396" s="6">
        <f t="shared" si="43"/>
        <v>35.700000000000003</v>
      </c>
      <c r="M396" s="36">
        <f t="shared" si="39"/>
        <v>0.03</v>
      </c>
      <c r="N396" s="82">
        <f t="shared" si="40"/>
        <v>0</v>
      </c>
      <c r="O396" s="82">
        <f t="shared" si="41"/>
        <v>0</v>
      </c>
    </row>
    <row r="397" spans="3:15" hidden="1" x14ac:dyDescent="0.35">
      <c r="C397" s="82">
        <v>21</v>
      </c>
      <c r="D397" s="36">
        <v>0.25</v>
      </c>
      <c r="E397" s="6">
        <v>100</v>
      </c>
      <c r="F397" s="6">
        <v>102</v>
      </c>
      <c r="G397" s="6">
        <v>104</v>
      </c>
      <c r="H397" s="6">
        <v>69.400000000000006</v>
      </c>
      <c r="J397" s="36">
        <f t="shared" si="38"/>
        <v>0.02</v>
      </c>
      <c r="K397" s="6">
        <f t="shared" si="42"/>
        <v>4</v>
      </c>
      <c r="L397" s="6">
        <f t="shared" si="43"/>
        <v>48.400000000000006</v>
      </c>
      <c r="M397" s="36">
        <f t="shared" si="39"/>
        <v>0.04</v>
      </c>
      <c r="N397" s="82">
        <f t="shared" si="40"/>
        <v>0</v>
      </c>
      <c r="O397" s="82">
        <f t="shared" si="41"/>
        <v>1</v>
      </c>
    </row>
    <row r="398" spans="3:15" hidden="1" x14ac:dyDescent="0.35">
      <c r="C398" s="82">
        <v>21</v>
      </c>
      <c r="D398" s="36">
        <v>0.25</v>
      </c>
      <c r="E398" s="6">
        <v>100</v>
      </c>
      <c r="F398" s="6">
        <v>102</v>
      </c>
      <c r="G398" s="6">
        <v>105</v>
      </c>
      <c r="H398" s="6">
        <v>82.4</v>
      </c>
      <c r="J398" s="36">
        <f t="shared" si="38"/>
        <v>0.02</v>
      </c>
      <c r="K398" s="6">
        <f t="shared" si="42"/>
        <v>5</v>
      </c>
      <c r="L398" s="6">
        <f t="shared" si="43"/>
        <v>61.400000000000006</v>
      </c>
      <c r="M398" s="36">
        <f t="shared" si="39"/>
        <v>0.05</v>
      </c>
      <c r="N398" s="82">
        <f t="shared" si="40"/>
        <v>0</v>
      </c>
      <c r="O398" s="82">
        <f t="shared" si="41"/>
        <v>0</v>
      </c>
    </row>
    <row r="399" spans="3:15" hidden="1" x14ac:dyDescent="0.35">
      <c r="C399" s="82">
        <v>21</v>
      </c>
      <c r="D399" s="36">
        <v>0.25</v>
      </c>
      <c r="E399" s="6">
        <v>100</v>
      </c>
      <c r="F399" s="6">
        <v>102</v>
      </c>
      <c r="G399" s="6">
        <v>106</v>
      </c>
      <c r="H399" s="6">
        <v>95.8</v>
      </c>
      <c r="J399" s="36">
        <f t="shared" si="38"/>
        <v>0.02</v>
      </c>
      <c r="K399" s="6">
        <f t="shared" si="42"/>
        <v>6</v>
      </c>
      <c r="L399" s="6">
        <f t="shared" si="43"/>
        <v>74.8</v>
      </c>
      <c r="M399" s="36">
        <f t="shared" si="39"/>
        <v>0.06</v>
      </c>
      <c r="N399" s="82">
        <f t="shared" si="40"/>
        <v>0</v>
      </c>
      <c r="O399" s="82">
        <f t="shared" si="41"/>
        <v>0</v>
      </c>
    </row>
    <row r="400" spans="3:15" hidden="1" x14ac:dyDescent="0.35">
      <c r="C400" s="82">
        <v>21</v>
      </c>
      <c r="D400" s="36">
        <v>0.25</v>
      </c>
      <c r="E400" s="6">
        <v>100</v>
      </c>
      <c r="F400" s="6">
        <v>102</v>
      </c>
      <c r="G400" s="6">
        <v>107</v>
      </c>
      <c r="H400" s="6">
        <v>109.5</v>
      </c>
      <c r="J400" s="36">
        <f t="shared" si="38"/>
        <v>0.02</v>
      </c>
      <c r="K400" s="6">
        <f t="shared" si="42"/>
        <v>7</v>
      </c>
      <c r="L400" s="6">
        <f t="shared" si="43"/>
        <v>88.5</v>
      </c>
      <c r="M400" s="36">
        <f t="shared" si="39"/>
        <v>7.0000000000000007E-2</v>
      </c>
      <c r="N400" s="82">
        <f t="shared" si="40"/>
        <v>0</v>
      </c>
      <c r="O400" s="82">
        <f t="shared" si="41"/>
        <v>0</v>
      </c>
    </row>
    <row r="401" spans="3:15" hidden="1" x14ac:dyDescent="0.35">
      <c r="C401" s="82">
        <v>21</v>
      </c>
      <c r="D401" s="36">
        <v>0.25</v>
      </c>
      <c r="E401" s="6">
        <v>100</v>
      </c>
      <c r="F401" s="6">
        <v>102</v>
      </c>
      <c r="G401" s="6">
        <v>108</v>
      </c>
      <c r="H401" s="6">
        <v>123.4</v>
      </c>
      <c r="J401" s="36">
        <f t="shared" si="38"/>
        <v>0.02</v>
      </c>
      <c r="K401" s="6">
        <f t="shared" si="42"/>
        <v>8</v>
      </c>
      <c r="L401" s="6">
        <f t="shared" si="43"/>
        <v>102.4</v>
      </c>
      <c r="M401" s="36">
        <f t="shared" si="39"/>
        <v>0.08</v>
      </c>
      <c r="N401" s="82">
        <f t="shared" si="40"/>
        <v>0</v>
      </c>
      <c r="O401" s="82">
        <f t="shared" si="41"/>
        <v>0</v>
      </c>
    </row>
    <row r="402" spans="3:15" hidden="1" x14ac:dyDescent="0.35">
      <c r="C402" s="82">
        <v>21</v>
      </c>
      <c r="D402" s="36">
        <v>0.25</v>
      </c>
      <c r="E402" s="6">
        <v>100</v>
      </c>
      <c r="F402" s="6">
        <v>102</v>
      </c>
      <c r="G402" s="6">
        <v>109</v>
      </c>
      <c r="H402" s="6">
        <v>137.6</v>
      </c>
      <c r="J402" s="36">
        <f t="shared" ref="J402:J465" si="44">(F402-E402)/E402</f>
        <v>0.02</v>
      </c>
      <c r="K402" s="6">
        <f t="shared" si="42"/>
        <v>9</v>
      </c>
      <c r="L402" s="6">
        <f t="shared" si="43"/>
        <v>116.6</v>
      </c>
      <c r="M402" s="36">
        <f t="shared" ref="M402:M465" si="45">K402/E402</f>
        <v>0.09</v>
      </c>
      <c r="N402" s="82">
        <f t="shared" ref="N402:N465" si="46">IF(M402=J402,1,0)</f>
        <v>0</v>
      </c>
      <c r="O402" s="82">
        <f t="shared" ref="O402:O465" si="47">IF(J402=0,0,IF(M402/J402=2,1,0))</f>
        <v>0</v>
      </c>
    </row>
    <row r="403" spans="3:15" hidden="1" x14ac:dyDescent="0.35">
      <c r="C403" s="82">
        <v>21</v>
      </c>
      <c r="D403" s="36">
        <v>0.25</v>
      </c>
      <c r="E403" s="6">
        <v>100</v>
      </c>
      <c r="F403" s="6">
        <v>102</v>
      </c>
      <c r="G403" s="6">
        <v>110</v>
      </c>
      <c r="H403" s="6">
        <v>152.1</v>
      </c>
      <c r="J403" s="36">
        <f t="shared" si="44"/>
        <v>0.02</v>
      </c>
      <c r="K403" s="6">
        <f t="shared" si="42"/>
        <v>10</v>
      </c>
      <c r="L403" s="6">
        <f t="shared" si="43"/>
        <v>131.1</v>
      </c>
      <c r="M403" s="36">
        <f t="shared" si="45"/>
        <v>0.1</v>
      </c>
      <c r="N403" s="82">
        <f t="shared" si="46"/>
        <v>0</v>
      </c>
      <c r="O403" s="82">
        <f t="shared" si="47"/>
        <v>0</v>
      </c>
    </row>
    <row r="404" spans="3:15" hidden="1" x14ac:dyDescent="0.35">
      <c r="C404" s="82">
        <v>21</v>
      </c>
      <c r="D404" s="36">
        <v>0.25</v>
      </c>
      <c r="E404" s="6">
        <v>100</v>
      </c>
      <c r="F404" s="6">
        <v>102</v>
      </c>
      <c r="G404" s="6">
        <v>115</v>
      </c>
      <c r="H404" s="6">
        <v>227.3</v>
      </c>
      <c r="J404" s="36">
        <f t="shared" si="44"/>
        <v>0.02</v>
      </c>
      <c r="K404" s="6">
        <f t="shared" si="42"/>
        <v>15</v>
      </c>
      <c r="L404" s="6">
        <f t="shared" si="43"/>
        <v>206.3</v>
      </c>
      <c r="M404" s="36">
        <f t="shared" si="45"/>
        <v>0.15</v>
      </c>
      <c r="N404" s="82">
        <f t="shared" si="46"/>
        <v>0</v>
      </c>
      <c r="O404" s="82">
        <f t="shared" si="47"/>
        <v>0</v>
      </c>
    </row>
    <row r="405" spans="3:15" hidden="1" x14ac:dyDescent="0.35">
      <c r="C405" s="82">
        <v>21</v>
      </c>
      <c r="D405" s="36">
        <v>0.25</v>
      </c>
      <c r="E405" s="6">
        <v>100</v>
      </c>
      <c r="F405" s="6">
        <v>102</v>
      </c>
      <c r="G405" s="6">
        <v>120</v>
      </c>
      <c r="H405" s="6">
        <v>306.2</v>
      </c>
      <c r="J405" s="36">
        <f t="shared" si="44"/>
        <v>0.02</v>
      </c>
      <c r="K405" s="6">
        <f t="shared" si="42"/>
        <v>20</v>
      </c>
      <c r="L405" s="6">
        <f t="shared" si="43"/>
        <v>285.2</v>
      </c>
      <c r="M405" s="36">
        <f t="shared" si="45"/>
        <v>0.2</v>
      </c>
      <c r="N405" s="82">
        <f t="shared" si="46"/>
        <v>0</v>
      </c>
      <c r="O405" s="82">
        <f t="shared" si="47"/>
        <v>0</v>
      </c>
    </row>
    <row r="406" spans="3:15" hidden="1" x14ac:dyDescent="0.35">
      <c r="C406" s="82">
        <v>21</v>
      </c>
      <c r="D406" s="36">
        <v>0.25</v>
      </c>
      <c r="E406" s="6">
        <v>100</v>
      </c>
      <c r="F406" s="6">
        <v>102</v>
      </c>
      <c r="G406" s="6">
        <v>125</v>
      </c>
      <c r="H406" s="6">
        <v>387.7</v>
      </c>
      <c r="J406" s="36">
        <f t="shared" si="44"/>
        <v>0.02</v>
      </c>
      <c r="K406" s="6">
        <f t="shared" si="42"/>
        <v>25</v>
      </c>
      <c r="L406" s="6">
        <f t="shared" si="43"/>
        <v>366.7</v>
      </c>
      <c r="M406" s="36">
        <f t="shared" si="45"/>
        <v>0.25</v>
      </c>
      <c r="N406" s="82">
        <f t="shared" si="46"/>
        <v>0</v>
      </c>
      <c r="O406" s="82">
        <f t="shared" si="47"/>
        <v>0</v>
      </c>
    </row>
    <row r="407" spans="3:15" hidden="1" x14ac:dyDescent="0.35">
      <c r="C407" s="82">
        <v>21</v>
      </c>
      <c r="D407" s="36">
        <v>0.25</v>
      </c>
      <c r="E407" s="6">
        <v>100</v>
      </c>
      <c r="F407" s="6">
        <v>103</v>
      </c>
      <c r="G407" s="6">
        <v>101</v>
      </c>
      <c r="H407" s="6">
        <v>34.299999999999997</v>
      </c>
      <c r="J407" s="36">
        <f t="shared" si="44"/>
        <v>0.03</v>
      </c>
      <c r="K407" s="6">
        <f t="shared" si="42"/>
        <v>1</v>
      </c>
      <c r="L407" s="6">
        <f t="shared" si="43"/>
        <v>13.299999999999997</v>
      </c>
      <c r="M407" s="36">
        <f t="shared" si="45"/>
        <v>0.01</v>
      </c>
      <c r="N407" s="82">
        <f t="shared" si="46"/>
        <v>0</v>
      </c>
      <c r="O407" s="82">
        <f t="shared" si="47"/>
        <v>0</v>
      </c>
    </row>
    <row r="408" spans="3:15" hidden="1" x14ac:dyDescent="0.35">
      <c r="C408" s="82">
        <v>21</v>
      </c>
      <c r="D408" s="36">
        <v>0.25</v>
      </c>
      <c r="E408" s="6">
        <v>100</v>
      </c>
      <c r="F408" s="6">
        <v>103</v>
      </c>
      <c r="G408" s="6">
        <v>102</v>
      </c>
      <c r="H408" s="6">
        <v>47.8</v>
      </c>
      <c r="J408" s="36">
        <f t="shared" si="44"/>
        <v>0.03</v>
      </c>
      <c r="K408" s="6">
        <f t="shared" si="42"/>
        <v>2</v>
      </c>
      <c r="L408" s="6">
        <f t="shared" si="43"/>
        <v>26.799999999999997</v>
      </c>
      <c r="M408" s="36">
        <f t="shared" si="45"/>
        <v>0.02</v>
      </c>
      <c r="N408" s="82">
        <f t="shared" si="46"/>
        <v>0</v>
      </c>
      <c r="O408" s="82">
        <f t="shared" si="47"/>
        <v>0</v>
      </c>
    </row>
    <row r="409" spans="3:15" hidden="1" x14ac:dyDescent="0.35">
      <c r="C409" s="82">
        <v>21</v>
      </c>
      <c r="D409" s="36">
        <v>0.25</v>
      </c>
      <c r="E409" s="6">
        <v>100</v>
      </c>
      <c r="F409" s="6">
        <v>103</v>
      </c>
      <c r="G409" s="6">
        <v>103</v>
      </c>
      <c r="H409" s="6">
        <v>61.6</v>
      </c>
      <c r="J409" s="36">
        <f t="shared" si="44"/>
        <v>0.03</v>
      </c>
      <c r="K409" s="6">
        <f t="shared" si="42"/>
        <v>3</v>
      </c>
      <c r="L409" s="6">
        <f t="shared" si="43"/>
        <v>40.6</v>
      </c>
      <c r="M409" s="36">
        <f t="shared" si="45"/>
        <v>0.03</v>
      </c>
      <c r="N409" s="82">
        <f t="shared" si="46"/>
        <v>1</v>
      </c>
      <c r="O409" s="82">
        <f t="shared" si="47"/>
        <v>0</v>
      </c>
    </row>
    <row r="410" spans="3:15" hidden="1" x14ac:dyDescent="0.35">
      <c r="C410" s="82">
        <v>21</v>
      </c>
      <c r="D410" s="36">
        <v>0.25</v>
      </c>
      <c r="E410" s="6">
        <v>100</v>
      </c>
      <c r="F410" s="6">
        <v>103</v>
      </c>
      <c r="G410" s="6">
        <v>104</v>
      </c>
      <c r="H410" s="6">
        <v>75.8</v>
      </c>
      <c r="J410" s="36">
        <f t="shared" si="44"/>
        <v>0.03</v>
      </c>
      <c r="K410" s="6">
        <f t="shared" si="42"/>
        <v>4</v>
      </c>
      <c r="L410" s="6">
        <f t="shared" si="43"/>
        <v>54.8</v>
      </c>
      <c r="M410" s="36">
        <f t="shared" si="45"/>
        <v>0.04</v>
      </c>
      <c r="N410" s="82">
        <f t="shared" si="46"/>
        <v>0</v>
      </c>
      <c r="O410" s="82">
        <f t="shared" si="47"/>
        <v>0</v>
      </c>
    </row>
    <row r="411" spans="3:15" hidden="1" x14ac:dyDescent="0.35">
      <c r="C411" s="82">
        <v>21</v>
      </c>
      <c r="D411" s="36">
        <v>0.25</v>
      </c>
      <c r="E411" s="6">
        <v>100</v>
      </c>
      <c r="F411" s="6">
        <v>103</v>
      </c>
      <c r="G411" s="6">
        <v>105</v>
      </c>
      <c r="H411" s="6">
        <v>90.3</v>
      </c>
      <c r="J411" s="36">
        <f t="shared" si="44"/>
        <v>0.03</v>
      </c>
      <c r="K411" s="6">
        <f t="shared" si="42"/>
        <v>5</v>
      </c>
      <c r="L411" s="6">
        <f t="shared" si="43"/>
        <v>69.3</v>
      </c>
      <c r="M411" s="36">
        <f t="shared" si="45"/>
        <v>0.05</v>
      </c>
      <c r="N411" s="82">
        <f t="shared" si="46"/>
        <v>0</v>
      </c>
      <c r="O411" s="82">
        <f t="shared" si="47"/>
        <v>0</v>
      </c>
    </row>
    <row r="412" spans="3:15" hidden="1" x14ac:dyDescent="0.35">
      <c r="C412" s="82">
        <v>21</v>
      </c>
      <c r="D412" s="36">
        <v>0.25</v>
      </c>
      <c r="E412" s="6">
        <v>100</v>
      </c>
      <c r="F412" s="6">
        <v>103</v>
      </c>
      <c r="G412" s="6">
        <v>106</v>
      </c>
      <c r="H412" s="6">
        <v>105.2</v>
      </c>
      <c r="J412" s="36">
        <f t="shared" si="44"/>
        <v>0.03</v>
      </c>
      <c r="K412" s="6">
        <f t="shared" si="42"/>
        <v>6</v>
      </c>
      <c r="L412" s="6">
        <f t="shared" si="43"/>
        <v>84.2</v>
      </c>
      <c r="M412" s="36">
        <f t="shared" si="45"/>
        <v>0.06</v>
      </c>
      <c r="N412" s="82">
        <f t="shared" si="46"/>
        <v>0</v>
      </c>
      <c r="O412" s="82">
        <f t="shared" si="47"/>
        <v>1</v>
      </c>
    </row>
    <row r="413" spans="3:15" hidden="1" x14ac:dyDescent="0.35">
      <c r="C413" s="82">
        <v>21</v>
      </c>
      <c r="D413" s="36">
        <v>0.25</v>
      </c>
      <c r="E413" s="6">
        <v>100</v>
      </c>
      <c r="F413" s="6">
        <v>103</v>
      </c>
      <c r="G413" s="6">
        <v>107</v>
      </c>
      <c r="H413" s="6">
        <v>120.3</v>
      </c>
      <c r="J413" s="36">
        <f t="shared" si="44"/>
        <v>0.03</v>
      </c>
      <c r="K413" s="6">
        <f t="shared" si="42"/>
        <v>7</v>
      </c>
      <c r="L413" s="6">
        <f t="shared" si="43"/>
        <v>99.3</v>
      </c>
      <c r="M413" s="36">
        <f t="shared" si="45"/>
        <v>7.0000000000000007E-2</v>
      </c>
      <c r="N413" s="82">
        <f t="shared" si="46"/>
        <v>0</v>
      </c>
      <c r="O413" s="82">
        <f t="shared" si="47"/>
        <v>0</v>
      </c>
    </row>
    <row r="414" spans="3:15" hidden="1" x14ac:dyDescent="0.35">
      <c r="C414" s="82">
        <v>21</v>
      </c>
      <c r="D414" s="36">
        <v>0.25</v>
      </c>
      <c r="E414" s="6">
        <v>100</v>
      </c>
      <c r="F414" s="6">
        <v>103</v>
      </c>
      <c r="G414" s="6">
        <v>108</v>
      </c>
      <c r="H414" s="6">
        <v>135.80000000000001</v>
      </c>
      <c r="J414" s="36">
        <f t="shared" si="44"/>
        <v>0.03</v>
      </c>
      <c r="K414" s="6">
        <f t="shared" si="42"/>
        <v>8</v>
      </c>
      <c r="L414" s="6">
        <f t="shared" si="43"/>
        <v>114.80000000000001</v>
      </c>
      <c r="M414" s="36">
        <f t="shared" si="45"/>
        <v>0.08</v>
      </c>
      <c r="N414" s="82">
        <f t="shared" si="46"/>
        <v>0</v>
      </c>
      <c r="O414" s="82">
        <f t="shared" si="47"/>
        <v>0</v>
      </c>
    </row>
    <row r="415" spans="3:15" hidden="1" x14ac:dyDescent="0.35">
      <c r="C415" s="82">
        <v>21</v>
      </c>
      <c r="D415" s="36">
        <v>0.25</v>
      </c>
      <c r="E415" s="6">
        <v>100</v>
      </c>
      <c r="F415" s="6">
        <v>103</v>
      </c>
      <c r="G415" s="6">
        <v>109</v>
      </c>
      <c r="H415" s="6">
        <v>151.5</v>
      </c>
      <c r="J415" s="36">
        <f t="shared" si="44"/>
        <v>0.03</v>
      </c>
      <c r="K415" s="6">
        <f t="shared" si="42"/>
        <v>9</v>
      </c>
      <c r="L415" s="6">
        <f t="shared" si="43"/>
        <v>130.5</v>
      </c>
      <c r="M415" s="36">
        <f t="shared" si="45"/>
        <v>0.09</v>
      </c>
      <c r="N415" s="82">
        <f t="shared" si="46"/>
        <v>0</v>
      </c>
      <c r="O415" s="82">
        <f t="shared" si="47"/>
        <v>0</v>
      </c>
    </row>
    <row r="416" spans="3:15" hidden="1" x14ac:dyDescent="0.35">
      <c r="C416" s="82">
        <v>21</v>
      </c>
      <c r="D416" s="36">
        <v>0.25</v>
      </c>
      <c r="E416" s="6">
        <v>100</v>
      </c>
      <c r="F416" s="6">
        <v>103</v>
      </c>
      <c r="G416" s="6">
        <v>110</v>
      </c>
      <c r="H416" s="6">
        <v>167.4</v>
      </c>
      <c r="J416" s="36">
        <f t="shared" si="44"/>
        <v>0.03</v>
      </c>
      <c r="K416" s="6">
        <f t="shared" si="42"/>
        <v>10</v>
      </c>
      <c r="L416" s="6">
        <f t="shared" si="43"/>
        <v>146.4</v>
      </c>
      <c r="M416" s="36">
        <f t="shared" si="45"/>
        <v>0.1</v>
      </c>
      <c r="N416" s="82">
        <f t="shared" si="46"/>
        <v>0</v>
      </c>
      <c r="O416" s="82">
        <f t="shared" si="47"/>
        <v>0</v>
      </c>
    </row>
    <row r="417" spans="3:15" hidden="1" x14ac:dyDescent="0.35">
      <c r="C417" s="82">
        <v>21</v>
      </c>
      <c r="D417" s="36">
        <v>0.25</v>
      </c>
      <c r="E417" s="6">
        <v>100</v>
      </c>
      <c r="F417" s="6">
        <v>103</v>
      </c>
      <c r="G417" s="6">
        <v>115</v>
      </c>
      <c r="H417" s="6">
        <v>249.9</v>
      </c>
      <c r="J417" s="36">
        <f t="shared" si="44"/>
        <v>0.03</v>
      </c>
      <c r="K417" s="6">
        <f t="shared" si="42"/>
        <v>15</v>
      </c>
      <c r="L417" s="6">
        <f t="shared" si="43"/>
        <v>228.9</v>
      </c>
      <c r="M417" s="36">
        <f t="shared" si="45"/>
        <v>0.15</v>
      </c>
      <c r="N417" s="82">
        <f t="shared" si="46"/>
        <v>0</v>
      </c>
      <c r="O417" s="82">
        <f t="shared" si="47"/>
        <v>0</v>
      </c>
    </row>
    <row r="418" spans="3:15" hidden="1" x14ac:dyDescent="0.35">
      <c r="C418" s="82">
        <v>21</v>
      </c>
      <c r="D418" s="36">
        <v>0.25</v>
      </c>
      <c r="E418" s="6">
        <v>100</v>
      </c>
      <c r="F418" s="6">
        <v>103</v>
      </c>
      <c r="G418" s="6">
        <v>120</v>
      </c>
      <c r="H418" s="6">
        <v>336</v>
      </c>
      <c r="J418" s="36">
        <f t="shared" si="44"/>
        <v>0.03</v>
      </c>
      <c r="K418" s="6">
        <f t="shared" si="42"/>
        <v>20</v>
      </c>
      <c r="L418" s="6">
        <f t="shared" si="43"/>
        <v>315</v>
      </c>
      <c r="M418" s="36">
        <f t="shared" si="45"/>
        <v>0.2</v>
      </c>
      <c r="N418" s="82">
        <f t="shared" si="46"/>
        <v>0</v>
      </c>
      <c r="O418" s="82">
        <f t="shared" si="47"/>
        <v>0</v>
      </c>
    </row>
    <row r="419" spans="3:15" hidden="1" x14ac:dyDescent="0.35">
      <c r="C419" s="82">
        <v>21</v>
      </c>
      <c r="D419" s="36">
        <v>0.25</v>
      </c>
      <c r="E419" s="6">
        <v>100</v>
      </c>
      <c r="F419" s="6">
        <v>103</v>
      </c>
      <c r="G419" s="6">
        <v>125</v>
      </c>
      <c r="H419" s="6">
        <v>424.5</v>
      </c>
      <c r="J419" s="36">
        <f t="shared" si="44"/>
        <v>0.03</v>
      </c>
      <c r="K419" s="6">
        <f t="shared" si="42"/>
        <v>25</v>
      </c>
      <c r="L419" s="6">
        <f t="shared" si="43"/>
        <v>403.5</v>
      </c>
      <c r="M419" s="36">
        <f t="shared" si="45"/>
        <v>0.25</v>
      </c>
      <c r="N419" s="82">
        <f t="shared" si="46"/>
        <v>0</v>
      </c>
      <c r="O419" s="82">
        <f t="shared" si="47"/>
        <v>0</v>
      </c>
    </row>
    <row r="420" spans="3:15" hidden="1" x14ac:dyDescent="0.35">
      <c r="C420" s="82">
        <v>21</v>
      </c>
      <c r="D420" s="36">
        <v>0.25</v>
      </c>
      <c r="E420" s="6">
        <v>100</v>
      </c>
      <c r="F420" s="6">
        <v>104</v>
      </c>
      <c r="G420" s="6">
        <v>101</v>
      </c>
      <c r="H420" s="6">
        <v>36.4</v>
      </c>
      <c r="J420" s="36">
        <f t="shared" si="44"/>
        <v>0.04</v>
      </c>
      <c r="K420" s="6">
        <f t="shared" si="42"/>
        <v>1</v>
      </c>
      <c r="L420" s="6">
        <f t="shared" si="43"/>
        <v>15.399999999999999</v>
      </c>
      <c r="M420" s="36">
        <f t="shared" si="45"/>
        <v>0.01</v>
      </c>
      <c r="N420" s="82">
        <f t="shared" si="46"/>
        <v>0</v>
      </c>
      <c r="O420" s="82">
        <f t="shared" si="47"/>
        <v>0</v>
      </c>
    </row>
    <row r="421" spans="3:15" hidden="1" x14ac:dyDescent="0.35">
      <c r="C421" s="82">
        <v>21</v>
      </c>
      <c r="D421" s="36">
        <v>0.25</v>
      </c>
      <c r="E421" s="6">
        <v>100</v>
      </c>
      <c r="F421" s="6">
        <v>104</v>
      </c>
      <c r="G421" s="6">
        <v>102</v>
      </c>
      <c r="H421" s="6">
        <v>51.7</v>
      </c>
      <c r="J421" s="36">
        <f t="shared" si="44"/>
        <v>0.04</v>
      </c>
      <c r="K421" s="6">
        <f t="shared" si="42"/>
        <v>2</v>
      </c>
      <c r="L421" s="6">
        <f t="shared" si="43"/>
        <v>30.700000000000003</v>
      </c>
      <c r="M421" s="36">
        <f t="shared" si="45"/>
        <v>0.02</v>
      </c>
      <c r="N421" s="82">
        <f t="shared" si="46"/>
        <v>0</v>
      </c>
      <c r="O421" s="82">
        <f t="shared" si="47"/>
        <v>0</v>
      </c>
    </row>
    <row r="422" spans="3:15" hidden="1" x14ac:dyDescent="0.35">
      <c r="C422" s="82">
        <v>21</v>
      </c>
      <c r="D422" s="36">
        <v>0.25</v>
      </c>
      <c r="E422" s="6">
        <v>100</v>
      </c>
      <c r="F422" s="6">
        <v>104</v>
      </c>
      <c r="G422" s="6">
        <v>103</v>
      </c>
      <c r="H422" s="6">
        <v>67.2</v>
      </c>
      <c r="J422" s="36">
        <f t="shared" si="44"/>
        <v>0.04</v>
      </c>
      <c r="K422" s="6">
        <f t="shared" si="42"/>
        <v>3</v>
      </c>
      <c r="L422" s="6">
        <f t="shared" si="43"/>
        <v>46.2</v>
      </c>
      <c r="M422" s="36">
        <f t="shared" si="45"/>
        <v>0.03</v>
      </c>
      <c r="N422" s="82">
        <f t="shared" si="46"/>
        <v>0</v>
      </c>
      <c r="O422" s="82">
        <f t="shared" si="47"/>
        <v>0</v>
      </c>
    </row>
    <row r="423" spans="3:15" hidden="1" x14ac:dyDescent="0.35">
      <c r="C423" s="82">
        <v>21</v>
      </c>
      <c r="D423" s="36">
        <v>0.25</v>
      </c>
      <c r="E423" s="6">
        <v>100</v>
      </c>
      <c r="F423" s="6">
        <v>104</v>
      </c>
      <c r="G423" s="6">
        <v>104</v>
      </c>
      <c r="H423" s="6">
        <v>83.1</v>
      </c>
      <c r="J423" s="36">
        <f t="shared" si="44"/>
        <v>0.04</v>
      </c>
      <c r="K423" s="6">
        <f t="shared" si="42"/>
        <v>4</v>
      </c>
      <c r="L423" s="6">
        <f t="shared" si="43"/>
        <v>62.099999999999994</v>
      </c>
      <c r="M423" s="36">
        <f t="shared" si="45"/>
        <v>0.04</v>
      </c>
      <c r="N423" s="82">
        <f t="shared" si="46"/>
        <v>1</v>
      </c>
      <c r="O423" s="82">
        <f t="shared" si="47"/>
        <v>0</v>
      </c>
    </row>
    <row r="424" spans="3:15" hidden="1" x14ac:dyDescent="0.35">
      <c r="C424" s="82">
        <v>21</v>
      </c>
      <c r="D424" s="36">
        <v>0.25</v>
      </c>
      <c r="E424" s="6">
        <v>100</v>
      </c>
      <c r="F424" s="6">
        <v>104</v>
      </c>
      <c r="G424" s="6">
        <v>105</v>
      </c>
      <c r="H424" s="6">
        <v>99.2</v>
      </c>
      <c r="J424" s="36">
        <f t="shared" si="44"/>
        <v>0.04</v>
      </c>
      <c r="K424" s="6">
        <f t="shared" si="42"/>
        <v>5</v>
      </c>
      <c r="L424" s="6">
        <f t="shared" si="43"/>
        <v>78.2</v>
      </c>
      <c r="M424" s="36">
        <f t="shared" si="45"/>
        <v>0.05</v>
      </c>
      <c r="N424" s="82">
        <f t="shared" si="46"/>
        <v>0</v>
      </c>
      <c r="O424" s="82">
        <f t="shared" si="47"/>
        <v>0</v>
      </c>
    </row>
    <row r="425" spans="3:15" hidden="1" x14ac:dyDescent="0.35">
      <c r="C425" s="82">
        <v>21</v>
      </c>
      <c r="D425" s="36">
        <v>0.25</v>
      </c>
      <c r="E425" s="6">
        <v>100</v>
      </c>
      <c r="F425" s="6">
        <v>104</v>
      </c>
      <c r="G425" s="6">
        <v>106</v>
      </c>
      <c r="H425" s="6">
        <v>115.7</v>
      </c>
      <c r="J425" s="36">
        <f t="shared" si="44"/>
        <v>0.04</v>
      </c>
      <c r="K425" s="6">
        <f t="shared" si="42"/>
        <v>6</v>
      </c>
      <c r="L425" s="6">
        <f t="shared" si="43"/>
        <v>94.7</v>
      </c>
      <c r="M425" s="36">
        <f t="shared" si="45"/>
        <v>0.06</v>
      </c>
      <c r="N425" s="82">
        <f t="shared" si="46"/>
        <v>0</v>
      </c>
      <c r="O425" s="82">
        <f t="shared" si="47"/>
        <v>0</v>
      </c>
    </row>
    <row r="426" spans="3:15" hidden="1" x14ac:dyDescent="0.35">
      <c r="C426" s="82">
        <v>21</v>
      </c>
      <c r="D426" s="36">
        <v>0.25</v>
      </c>
      <c r="E426" s="6">
        <v>100</v>
      </c>
      <c r="F426" s="6">
        <v>104</v>
      </c>
      <c r="G426" s="6">
        <v>107</v>
      </c>
      <c r="H426" s="6">
        <v>132.4</v>
      </c>
      <c r="J426" s="36">
        <f t="shared" si="44"/>
        <v>0.04</v>
      </c>
      <c r="K426" s="6">
        <f t="shared" si="42"/>
        <v>7</v>
      </c>
      <c r="L426" s="6">
        <f t="shared" si="43"/>
        <v>111.4</v>
      </c>
      <c r="M426" s="36">
        <f t="shared" si="45"/>
        <v>7.0000000000000007E-2</v>
      </c>
      <c r="N426" s="82">
        <f t="shared" si="46"/>
        <v>0</v>
      </c>
      <c r="O426" s="82">
        <f t="shared" si="47"/>
        <v>0</v>
      </c>
    </row>
    <row r="427" spans="3:15" hidden="1" x14ac:dyDescent="0.35">
      <c r="C427" s="82">
        <v>21</v>
      </c>
      <c r="D427" s="36">
        <v>0.25</v>
      </c>
      <c r="E427" s="6">
        <v>100</v>
      </c>
      <c r="F427" s="6">
        <v>104</v>
      </c>
      <c r="G427" s="6">
        <v>108</v>
      </c>
      <c r="H427" s="6">
        <v>149.5</v>
      </c>
      <c r="J427" s="36">
        <f t="shared" si="44"/>
        <v>0.04</v>
      </c>
      <c r="K427" s="6">
        <f t="shared" si="42"/>
        <v>8</v>
      </c>
      <c r="L427" s="6">
        <f t="shared" si="43"/>
        <v>128.5</v>
      </c>
      <c r="M427" s="36">
        <f t="shared" si="45"/>
        <v>0.08</v>
      </c>
      <c r="N427" s="82">
        <f t="shared" si="46"/>
        <v>0</v>
      </c>
      <c r="O427" s="82">
        <f t="shared" si="47"/>
        <v>1</v>
      </c>
    </row>
    <row r="428" spans="3:15" hidden="1" x14ac:dyDescent="0.35">
      <c r="C428" s="82">
        <v>21</v>
      </c>
      <c r="D428" s="36">
        <v>0.25</v>
      </c>
      <c r="E428" s="6">
        <v>100</v>
      </c>
      <c r="F428" s="6">
        <v>104</v>
      </c>
      <c r="G428" s="6">
        <v>109</v>
      </c>
      <c r="H428" s="6">
        <v>166.7</v>
      </c>
      <c r="J428" s="36">
        <f t="shared" si="44"/>
        <v>0.04</v>
      </c>
      <c r="K428" s="6">
        <f t="shared" si="42"/>
        <v>9</v>
      </c>
      <c r="L428" s="6">
        <f t="shared" si="43"/>
        <v>145.69999999999999</v>
      </c>
      <c r="M428" s="36">
        <f t="shared" si="45"/>
        <v>0.09</v>
      </c>
      <c r="N428" s="82">
        <f t="shared" si="46"/>
        <v>0</v>
      </c>
      <c r="O428" s="82">
        <f t="shared" si="47"/>
        <v>0</v>
      </c>
    </row>
    <row r="429" spans="3:15" hidden="1" x14ac:dyDescent="0.35">
      <c r="C429" s="82">
        <v>21</v>
      </c>
      <c r="D429" s="36">
        <v>0.25</v>
      </c>
      <c r="E429" s="6">
        <v>100</v>
      </c>
      <c r="F429" s="6">
        <v>104</v>
      </c>
      <c r="G429" s="6">
        <v>110</v>
      </c>
      <c r="H429" s="6">
        <v>184.2</v>
      </c>
      <c r="J429" s="36">
        <f t="shared" si="44"/>
        <v>0.04</v>
      </c>
      <c r="K429" s="6">
        <f t="shared" si="42"/>
        <v>10</v>
      </c>
      <c r="L429" s="6">
        <f t="shared" si="43"/>
        <v>163.19999999999999</v>
      </c>
      <c r="M429" s="36">
        <f t="shared" si="45"/>
        <v>0.1</v>
      </c>
      <c r="N429" s="82">
        <f t="shared" si="46"/>
        <v>0</v>
      </c>
      <c r="O429" s="82">
        <f t="shared" si="47"/>
        <v>0</v>
      </c>
    </row>
    <row r="430" spans="3:15" hidden="1" x14ac:dyDescent="0.35">
      <c r="C430" s="82">
        <v>21</v>
      </c>
      <c r="D430" s="36">
        <v>0.25</v>
      </c>
      <c r="E430" s="6">
        <v>100</v>
      </c>
      <c r="F430" s="6">
        <v>104</v>
      </c>
      <c r="G430" s="6">
        <v>115</v>
      </c>
      <c r="H430" s="6">
        <v>274.39999999999998</v>
      </c>
      <c r="J430" s="36">
        <f t="shared" si="44"/>
        <v>0.04</v>
      </c>
      <c r="K430" s="6">
        <f t="shared" si="42"/>
        <v>15</v>
      </c>
      <c r="L430" s="6">
        <f t="shared" si="43"/>
        <v>253.39999999999998</v>
      </c>
      <c r="M430" s="36">
        <f t="shared" si="45"/>
        <v>0.15</v>
      </c>
      <c r="N430" s="82">
        <f t="shared" si="46"/>
        <v>0</v>
      </c>
      <c r="O430" s="82">
        <f t="shared" si="47"/>
        <v>0</v>
      </c>
    </row>
    <row r="431" spans="3:15" hidden="1" x14ac:dyDescent="0.35">
      <c r="C431" s="82">
        <v>21</v>
      </c>
      <c r="D431" s="36">
        <v>0.25</v>
      </c>
      <c r="E431" s="6">
        <v>100</v>
      </c>
      <c r="F431" s="6">
        <v>104</v>
      </c>
      <c r="G431" s="6">
        <v>120</v>
      </c>
      <c r="H431" s="6">
        <v>368</v>
      </c>
      <c r="J431" s="36">
        <f t="shared" si="44"/>
        <v>0.04</v>
      </c>
      <c r="K431" s="6">
        <f t="shared" si="42"/>
        <v>20</v>
      </c>
      <c r="L431" s="6">
        <f t="shared" si="43"/>
        <v>347</v>
      </c>
      <c r="M431" s="36">
        <f t="shared" si="45"/>
        <v>0.2</v>
      </c>
      <c r="N431" s="82">
        <f t="shared" si="46"/>
        <v>0</v>
      </c>
      <c r="O431" s="82">
        <f t="shared" si="47"/>
        <v>0</v>
      </c>
    </row>
    <row r="432" spans="3:15" hidden="1" x14ac:dyDescent="0.35">
      <c r="C432" s="82">
        <v>21</v>
      </c>
      <c r="D432" s="36">
        <v>0.25</v>
      </c>
      <c r="E432" s="6">
        <v>100</v>
      </c>
      <c r="F432" s="6">
        <v>104</v>
      </c>
      <c r="G432" s="6">
        <v>125</v>
      </c>
      <c r="H432" s="6">
        <v>463.9</v>
      </c>
      <c r="J432" s="36">
        <f t="shared" si="44"/>
        <v>0.04</v>
      </c>
      <c r="K432" s="6">
        <f t="shared" ref="K432:K484" si="48">G432-E432</f>
        <v>25</v>
      </c>
      <c r="L432" s="6">
        <f t="shared" ref="L432:L484" si="49">H432-C432</f>
        <v>442.9</v>
      </c>
      <c r="M432" s="36">
        <f t="shared" si="45"/>
        <v>0.25</v>
      </c>
      <c r="N432" s="82">
        <f t="shared" si="46"/>
        <v>0</v>
      </c>
      <c r="O432" s="82">
        <f t="shared" si="47"/>
        <v>0</v>
      </c>
    </row>
    <row r="433" spans="3:15" hidden="1" x14ac:dyDescent="0.35">
      <c r="C433" s="82">
        <v>21</v>
      </c>
      <c r="D433" s="36">
        <v>0.25</v>
      </c>
      <c r="E433" s="6">
        <v>100</v>
      </c>
      <c r="F433" s="6">
        <v>105</v>
      </c>
      <c r="G433" s="6">
        <v>101</v>
      </c>
      <c r="H433" s="6">
        <v>38.799999999999997</v>
      </c>
      <c r="J433" s="36">
        <f t="shared" si="44"/>
        <v>0.05</v>
      </c>
      <c r="K433" s="6">
        <f t="shared" si="48"/>
        <v>1</v>
      </c>
      <c r="L433" s="6">
        <f t="shared" si="49"/>
        <v>17.799999999999997</v>
      </c>
      <c r="M433" s="36">
        <f t="shared" si="45"/>
        <v>0.01</v>
      </c>
      <c r="N433" s="82">
        <f t="shared" si="46"/>
        <v>0</v>
      </c>
      <c r="O433" s="82">
        <f t="shared" si="47"/>
        <v>0</v>
      </c>
    </row>
    <row r="434" spans="3:15" hidden="1" x14ac:dyDescent="0.35">
      <c r="C434" s="82">
        <v>21</v>
      </c>
      <c r="D434" s="36">
        <v>0.25</v>
      </c>
      <c r="E434" s="6">
        <v>100</v>
      </c>
      <c r="F434" s="6">
        <v>105</v>
      </c>
      <c r="G434" s="6">
        <v>102</v>
      </c>
      <c r="H434" s="6">
        <v>56.2</v>
      </c>
      <c r="J434" s="36">
        <f t="shared" si="44"/>
        <v>0.05</v>
      </c>
      <c r="K434" s="6">
        <f t="shared" si="48"/>
        <v>2</v>
      </c>
      <c r="L434" s="6">
        <f t="shared" si="49"/>
        <v>35.200000000000003</v>
      </c>
      <c r="M434" s="36">
        <f t="shared" si="45"/>
        <v>0.02</v>
      </c>
      <c r="N434" s="82">
        <f t="shared" si="46"/>
        <v>0</v>
      </c>
      <c r="O434" s="82">
        <f t="shared" si="47"/>
        <v>0</v>
      </c>
    </row>
    <row r="435" spans="3:15" hidden="1" x14ac:dyDescent="0.35">
      <c r="C435" s="82">
        <v>21</v>
      </c>
      <c r="D435" s="36">
        <v>0.25</v>
      </c>
      <c r="E435" s="6">
        <v>100</v>
      </c>
      <c r="F435" s="6">
        <v>105</v>
      </c>
      <c r="G435" s="6">
        <v>103</v>
      </c>
      <c r="H435" s="6">
        <v>73.599999999999994</v>
      </c>
      <c r="J435" s="36">
        <f t="shared" si="44"/>
        <v>0.05</v>
      </c>
      <c r="K435" s="6">
        <f t="shared" si="48"/>
        <v>3</v>
      </c>
      <c r="L435" s="6">
        <f t="shared" si="49"/>
        <v>52.599999999999994</v>
      </c>
      <c r="M435" s="36">
        <f t="shared" si="45"/>
        <v>0.03</v>
      </c>
      <c r="N435" s="82">
        <f t="shared" si="46"/>
        <v>0</v>
      </c>
      <c r="O435" s="82">
        <f t="shared" si="47"/>
        <v>0</v>
      </c>
    </row>
    <row r="436" spans="3:15" hidden="1" x14ac:dyDescent="0.35">
      <c r="C436" s="82">
        <v>21</v>
      </c>
      <c r="D436" s="36">
        <v>0.25</v>
      </c>
      <c r="E436" s="6">
        <v>100</v>
      </c>
      <c r="F436" s="6">
        <v>105</v>
      </c>
      <c r="G436" s="6">
        <v>104</v>
      </c>
      <c r="H436" s="6">
        <v>91.2</v>
      </c>
      <c r="J436" s="36">
        <f t="shared" si="44"/>
        <v>0.05</v>
      </c>
      <c r="K436" s="6">
        <f t="shared" si="48"/>
        <v>4</v>
      </c>
      <c r="L436" s="6">
        <f t="shared" si="49"/>
        <v>70.2</v>
      </c>
      <c r="M436" s="36">
        <f t="shared" si="45"/>
        <v>0.04</v>
      </c>
      <c r="N436" s="82">
        <f t="shared" si="46"/>
        <v>0</v>
      </c>
      <c r="O436" s="82">
        <f t="shared" si="47"/>
        <v>0</v>
      </c>
    </row>
    <row r="437" spans="3:15" hidden="1" x14ac:dyDescent="0.35">
      <c r="C437" s="82">
        <v>21</v>
      </c>
      <c r="D437" s="36">
        <v>0.25</v>
      </c>
      <c r="E437" s="6">
        <v>100</v>
      </c>
      <c r="F437" s="6">
        <v>105</v>
      </c>
      <c r="G437" s="6">
        <v>105</v>
      </c>
      <c r="H437" s="6">
        <v>109.1</v>
      </c>
      <c r="J437" s="36">
        <f t="shared" si="44"/>
        <v>0.05</v>
      </c>
      <c r="K437" s="6">
        <f t="shared" si="48"/>
        <v>5</v>
      </c>
      <c r="L437" s="6">
        <f t="shared" si="49"/>
        <v>88.1</v>
      </c>
      <c r="M437" s="36">
        <f t="shared" si="45"/>
        <v>0.05</v>
      </c>
      <c r="N437" s="82">
        <f t="shared" si="46"/>
        <v>1</v>
      </c>
      <c r="O437" s="82">
        <f t="shared" si="47"/>
        <v>0</v>
      </c>
    </row>
    <row r="438" spans="3:15" hidden="1" x14ac:dyDescent="0.35">
      <c r="C438" s="82">
        <v>21</v>
      </c>
      <c r="D438" s="36">
        <v>0.25</v>
      </c>
      <c r="E438" s="6">
        <v>100</v>
      </c>
      <c r="F438" s="6">
        <v>105</v>
      </c>
      <c r="G438" s="6">
        <v>106</v>
      </c>
      <c r="H438" s="6">
        <v>127.3</v>
      </c>
      <c r="J438" s="36">
        <f t="shared" si="44"/>
        <v>0.05</v>
      </c>
      <c r="K438" s="6">
        <f t="shared" si="48"/>
        <v>6</v>
      </c>
      <c r="L438" s="6">
        <f t="shared" si="49"/>
        <v>106.3</v>
      </c>
      <c r="M438" s="36">
        <f t="shared" si="45"/>
        <v>0.06</v>
      </c>
      <c r="N438" s="82">
        <f t="shared" si="46"/>
        <v>0</v>
      </c>
      <c r="O438" s="82">
        <f t="shared" si="47"/>
        <v>0</v>
      </c>
    </row>
    <row r="439" spans="3:15" hidden="1" x14ac:dyDescent="0.35">
      <c r="C439" s="82">
        <v>21</v>
      </c>
      <c r="D439" s="36">
        <v>0.25</v>
      </c>
      <c r="E439" s="6">
        <v>100</v>
      </c>
      <c r="F439" s="6">
        <v>105</v>
      </c>
      <c r="G439" s="6">
        <v>107</v>
      </c>
      <c r="H439" s="6">
        <v>145.80000000000001</v>
      </c>
      <c r="J439" s="36">
        <f t="shared" si="44"/>
        <v>0.05</v>
      </c>
      <c r="K439" s="6">
        <f t="shared" si="48"/>
        <v>7</v>
      </c>
      <c r="L439" s="6">
        <f t="shared" si="49"/>
        <v>124.80000000000001</v>
      </c>
      <c r="M439" s="36">
        <f t="shared" si="45"/>
        <v>7.0000000000000007E-2</v>
      </c>
      <c r="N439" s="82">
        <f t="shared" si="46"/>
        <v>0</v>
      </c>
      <c r="O439" s="82">
        <f t="shared" si="47"/>
        <v>0</v>
      </c>
    </row>
    <row r="440" spans="3:15" hidden="1" x14ac:dyDescent="0.35">
      <c r="C440" s="82">
        <v>21</v>
      </c>
      <c r="D440" s="36">
        <v>0.25</v>
      </c>
      <c r="E440" s="6">
        <v>100</v>
      </c>
      <c r="F440" s="6">
        <v>105</v>
      </c>
      <c r="G440" s="6">
        <v>108</v>
      </c>
      <c r="H440" s="6">
        <v>164.5</v>
      </c>
      <c r="J440" s="36">
        <f t="shared" si="44"/>
        <v>0.05</v>
      </c>
      <c r="K440" s="6">
        <f t="shared" si="48"/>
        <v>8</v>
      </c>
      <c r="L440" s="6">
        <f t="shared" si="49"/>
        <v>143.5</v>
      </c>
      <c r="M440" s="36">
        <f t="shared" si="45"/>
        <v>0.08</v>
      </c>
      <c r="N440" s="82">
        <f t="shared" si="46"/>
        <v>0</v>
      </c>
      <c r="O440" s="82">
        <f t="shared" si="47"/>
        <v>0</v>
      </c>
    </row>
    <row r="441" spans="3:15" hidden="1" x14ac:dyDescent="0.35">
      <c r="C441" s="82">
        <v>21</v>
      </c>
      <c r="D441" s="36">
        <v>0.25</v>
      </c>
      <c r="E441" s="6">
        <v>100</v>
      </c>
      <c r="F441" s="6">
        <v>105</v>
      </c>
      <c r="G441" s="6">
        <v>109</v>
      </c>
      <c r="H441" s="6">
        <v>183.4</v>
      </c>
      <c r="J441" s="36">
        <f t="shared" si="44"/>
        <v>0.05</v>
      </c>
      <c r="K441" s="6">
        <f t="shared" si="48"/>
        <v>9</v>
      </c>
      <c r="L441" s="6">
        <f t="shared" si="49"/>
        <v>162.4</v>
      </c>
      <c r="M441" s="36">
        <f t="shared" si="45"/>
        <v>0.09</v>
      </c>
      <c r="N441" s="82">
        <f t="shared" si="46"/>
        <v>0</v>
      </c>
      <c r="O441" s="82">
        <f t="shared" si="47"/>
        <v>0</v>
      </c>
    </row>
    <row r="442" spans="3:15" hidden="1" x14ac:dyDescent="0.35">
      <c r="C442" s="82">
        <v>21</v>
      </c>
      <c r="D442" s="36">
        <v>0.25</v>
      </c>
      <c r="E442" s="6">
        <v>100</v>
      </c>
      <c r="F442" s="6">
        <v>105</v>
      </c>
      <c r="G442" s="6">
        <v>110</v>
      </c>
      <c r="H442" s="6">
        <v>202.5</v>
      </c>
      <c r="J442" s="36">
        <f t="shared" si="44"/>
        <v>0.05</v>
      </c>
      <c r="K442" s="6">
        <f t="shared" si="48"/>
        <v>10</v>
      </c>
      <c r="L442" s="6">
        <f t="shared" si="49"/>
        <v>181.5</v>
      </c>
      <c r="M442" s="36">
        <f t="shared" si="45"/>
        <v>0.1</v>
      </c>
      <c r="N442" s="82">
        <f t="shared" si="46"/>
        <v>0</v>
      </c>
      <c r="O442" s="82">
        <f t="shared" si="47"/>
        <v>1</v>
      </c>
    </row>
    <row r="443" spans="3:15" hidden="1" x14ac:dyDescent="0.35">
      <c r="C443" s="82">
        <v>21</v>
      </c>
      <c r="D443" s="36">
        <v>0.25</v>
      </c>
      <c r="E443" s="6">
        <v>100</v>
      </c>
      <c r="F443" s="6">
        <v>105</v>
      </c>
      <c r="G443" s="6">
        <v>115</v>
      </c>
      <c r="H443" s="6">
        <v>300.8</v>
      </c>
      <c r="J443" s="36">
        <f t="shared" si="44"/>
        <v>0.05</v>
      </c>
      <c r="K443" s="6">
        <f t="shared" si="48"/>
        <v>15</v>
      </c>
      <c r="L443" s="6">
        <f t="shared" si="49"/>
        <v>279.8</v>
      </c>
      <c r="M443" s="36">
        <f t="shared" si="45"/>
        <v>0.15</v>
      </c>
      <c r="N443" s="82">
        <f t="shared" si="46"/>
        <v>0</v>
      </c>
      <c r="O443" s="82">
        <f t="shared" si="47"/>
        <v>0</v>
      </c>
    </row>
    <row r="444" spans="3:15" hidden="1" x14ac:dyDescent="0.35">
      <c r="C444" s="82">
        <v>21</v>
      </c>
      <c r="D444" s="36">
        <v>0.25</v>
      </c>
      <c r="E444" s="6">
        <v>100</v>
      </c>
      <c r="F444" s="6">
        <v>105</v>
      </c>
      <c r="G444" s="6">
        <v>120</v>
      </c>
      <c r="H444" s="6">
        <v>402.2</v>
      </c>
      <c r="J444" s="36">
        <f t="shared" si="44"/>
        <v>0.05</v>
      </c>
      <c r="K444" s="6">
        <f t="shared" si="48"/>
        <v>20</v>
      </c>
      <c r="L444" s="6">
        <f t="shared" si="49"/>
        <v>381.2</v>
      </c>
      <c r="M444" s="36">
        <f t="shared" si="45"/>
        <v>0.2</v>
      </c>
      <c r="N444" s="82">
        <f t="shared" si="46"/>
        <v>0</v>
      </c>
      <c r="O444" s="82">
        <f t="shared" si="47"/>
        <v>0</v>
      </c>
    </row>
    <row r="445" spans="3:15" hidden="1" x14ac:dyDescent="0.35">
      <c r="C445" s="82">
        <v>21</v>
      </c>
      <c r="D445" s="36">
        <v>0.25</v>
      </c>
      <c r="E445" s="6">
        <v>100</v>
      </c>
      <c r="F445" s="6">
        <v>105</v>
      </c>
      <c r="G445" s="6">
        <v>125</v>
      </c>
      <c r="H445" s="6">
        <v>505.6</v>
      </c>
      <c r="J445" s="36">
        <f t="shared" si="44"/>
        <v>0.05</v>
      </c>
      <c r="K445" s="6">
        <f t="shared" si="48"/>
        <v>25</v>
      </c>
      <c r="L445" s="6">
        <f t="shared" si="49"/>
        <v>484.6</v>
      </c>
      <c r="M445" s="36">
        <f t="shared" si="45"/>
        <v>0.25</v>
      </c>
      <c r="N445" s="82">
        <f t="shared" si="46"/>
        <v>0</v>
      </c>
      <c r="O445" s="82">
        <f t="shared" si="47"/>
        <v>0</v>
      </c>
    </row>
    <row r="446" spans="3:15" hidden="1" x14ac:dyDescent="0.35">
      <c r="C446" s="82">
        <v>21</v>
      </c>
      <c r="D446" s="36">
        <v>0.25</v>
      </c>
      <c r="E446" s="6">
        <v>100</v>
      </c>
      <c r="F446" s="6">
        <v>110</v>
      </c>
      <c r="G446" s="6">
        <v>101</v>
      </c>
      <c r="H446" s="6">
        <v>58.4</v>
      </c>
      <c r="J446" s="36">
        <f t="shared" si="44"/>
        <v>0.1</v>
      </c>
      <c r="K446" s="6">
        <f t="shared" si="48"/>
        <v>1</v>
      </c>
      <c r="L446" s="6">
        <f t="shared" si="49"/>
        <v>37.4</v>
      </c>
      <c r="M446" s="36">
        <f t="shared" si="45"/>
        <v>0.01</v>
      </c>
      <c r="N446" s="82">
        <f t="shared" si="46"/>
        <v>0</v>
      </c>
      <c r="O446" s="82">
        <f t="shared" si="47"/>
        <v>0</v>
      </c>
    </row>
    <row r="447" spans="3:15" hidden="1" x14ac:dyDescent="0.35">
      <c r="C447" s="82">
        <v>21</v>
      </c>
      <c r="D447" s="36">
        <v>0.25</v>
      </c>
      <c r="E447" s="6">
        <v>100</v>
      </c>
      <c r="F447" s="6">
        <v>110</v>
      </c>
      <c r="G447" s="6">
        <v>102</v>
      </c>
      <c r="H447" s="6">
        <v>88.6</v>
      </c>
      <c r="J447" s="36">
        <f t="shared" si="44"/>
        <v>0.1</v>
      </c>
      <c r="K447" s="6">
        <f t="shared" si="48"/>
        <v>2</v>
      </c>
      <c r="L447" s="6">
        <f t="shared" si="49"/>
        <v>67.599999999999994</v>
      </c>
      <c r="M447" s="36">
        <f t="shared" si="45"/>
        <v>0.02</v>
      </c>
      <c r="N447" s="82">
        <f t="shared" si="46"/>
        <v>0</v>
      </c>
      <c r="O447" s="82">
        <f t="shared" si="47"/>
        <v>0</v>
      </c>
    </row>
    <row r="448" spans="3:15" hidden="1" x14ac:dyDescent="0.35">
      <c r="C448" s="82">
        <v>21</v>
      </c>
      <c r="D448" s="36">
        <v>0.25</v>
      </c>
      <c r="E448" s="6">
        <v>100</v>
      </c>
      <c r="F448" s="6">
        <v>110</v>
      </c>
      <c r="G448" s="6">
        <v>103</v>
      </c>
      <c r="H448" s="6">
        <v>117.3</v>
      </c>
      <c r="J448" s="36">
        <f t="shared" si="44"/>
        <v>0.1</v>
      </c>
      <c r="K448" s="6">
        <f t="shared" si="48"/>
        <v>3</v>
      </c>
      <c r="L448" s="6">
        <f t="shared" si="49"/>
        <v>96.3</v>
      </c>
      <c r="M448" s="36">
        <f t="shared" si="45"/>
        <v>0.03</v>
      </c>
      <c r="N448" s="82">
        <f t="shared" si="46"/>
        <v>0</v>
      </c>
      <c r="O448" s="82">
        <f t="shared" si="47"/>
        <v>0</v>
      </c>
    </row>
    <row r="449" spans="3:15" hidden="1" x14ac:dyDescent="0.35">
      <c r="C449" s="82">
        <v>21</v>
      </c>
      <c r="D449" s="36">
        <v>0.25</v>
      </c>
      <c r="E449" s="6">
        <v>100</v>
      </c>
      <c r="F449" s="6">
        <v>110</v>
      </c>
      <c r="G449" s="6">
        <v>104</v>
      </c>
      <c r="H449" s="6">
        <v>145.5</v>
      </c>
      <c r="J449" s="36">
        <f t="shared" si="44"/>
        <v>0.1</v>
      </c>
      <c r="K449" s="6">
        <f t="shared" si="48"/>
        <v>4</v>
      </c>
      <c r="L449" s="6">
        <f t="shared" si="49"/>
        <v>124.5</v>
      </c>
      <c r="M449" s="36">
        <f t="shared" si="45"/>
        <v>0.04</v>
      </c>
      <c r="N449" s="82">
        <f t="shared" si="46"/>
        <v>0</v>
      </c>
      <c r="O449" s="82">
        <f t="shared" si="47"/>
        <v>0</v>
      </c>
    </row>
    <row r="450" spans="3:15" hidden="1" x14ac:dyDescent="0.35">
      <c r="C450" s="82">
        <v>21</v>
      </c>
      <c r="D450" s="36">
        <v>0.25</v>
      </c>
      <c r="E450" s="6">
        <v>100</v>
      </c>
      <c r="F450" s="6">
        <v>110</v>
      </c>
      <c r="G450" s="6">
        <v>105</v>
      </c>
      <c r="H450" s="6">
        <v>173.6</v>
      </c>
      <c r="J450" s="36">
        <f t="shared" si="44"/>
        <v>0.1</v>
      </c>
      <c r="K450" s="6">
        <f t="shared" si="48"/>
        <v>5</v>
      </c>
      <c r="L450" s="6">
        <f t="shared" si="49"/>
        <v>152.6</v>
      </c>
      <c r="M450" s="36">
        <f t="shared" si="45"/>
        <v>0.05</v>
      </c>
      <c r="N450" s="82">
        <f t="shared" si="46"/>
        <v>0</v>
      </c>
      <c r="O450" s="82">
        <f t="shared" si="47"/>
        <v>0</v>
      </c>
    </row>
    <row r="451" spans="3:15" hidden="1" x14ac:dyDescent="0.35">
      <c r="C451" s="82">
        <v>21</v>
      </c>
      <c r="D451" s="36">
        <v>0.25</v>
      </c>
      <c r="E451" s="6">
        <v>100</v>
      </c>
      <c r="F451" s="6">
        <v>110</v>
      </c>
      <c r="G451" s="6">
        <v>106</v>
      </c>
      <c r="H451" s="6">
        <v>201.6</v>
      </c>
      <c r="J451" s="36">
        <f t="shared" si="44"/>
        <v>0.1</v>
      </c>
      <c r="K451" s="6">
        <f t="shared" si="48"/>
        <v>6</v>
      </c>
      <c r="L451" s="6">
        <f t="shared" si="49"/>
        <v>180.6</v>
      </c>
      <c r="M451" s="36">
        <f t="shared" si="45"/>
        <v>0.06</v>
      </c>
      <c r="N451" s="82">
        <f t="shared" si="46"/>
        <v>0</v>
      </c>
      <c r="O451" s="82">
        <f t="shared" si="47"/>
        <v>0</v>
      </c>
    </row>
    <row r="452" spans="3:15" hidden="1" x14ac:dyDescent="0.35">
      <c r="C452" s="82">
        <v>21</v>
      </c>
      <c r="D452" s="36">
        <v>0.25</v>
      </c>
      <c r="E452" s="6">
        <v>100</v>
      </c>
      <c r="F452" s="6">
        <v>110</v>
      </c>
      <c r="G452" s="6">
        <v>107</v>
      </c>
      <c r="H452" s="6">
        <v>229.6</v>
      </c>
      <c r="J452" s="36">
        <f t="shared" si="44"/>
        <v>0.1</v>
      </c>
      <c r="K452" s="6">
        <f t="shared" si="48"/>
        <v>7</v>
      </c>
      <c r="L452" s="6">
        <f t="shared" si="49"/>
        <v>208.6</v>
      </c>
      <c r="M452" s="36">
        <f t="shared" si="45"/>
        <v>7.0000000000000007E-2</v>
      </c>
      <c r="N452" s="82">
        <f t="shared" si="46"/>
        <v>0</v>
      </c>
      <c r="O452" s="82">
        <f t="shared" si="47"/>
        <v>0</v>
      </c>
    </row>
    <row r="453" spans="3:15" hidden="1" x14ac:dyDescent="0.35">
      <c r="C453" s="82">
        <v>21</v>
      </c>
      <c r="D453" s="36">
        <v>0.25</v>
      </c>
      <c r="E453" s="6">
        <v>100</v>
      </c>
      <c r="F453" s="6">
        <v>110</v>
      </c>
      <c r="G453" s="6">
        <v>108</v>
      </c>
      <c r="H453" s="6">
        <v>257.60000000000002</v>
      </c>
      <c r="J453" s="36">
        <f t="shared" si="44"/>
        <v>0.1</v>
      </c>
      <c r="K453" s="6">
        <f t="shared" si="48"/>
        <v>8</v>
      </c>
      <c r="L453" s="6">
        <f t="shared" si="49"/>
        <v>236.60000000000002</v>
      </c>
      <c r="M453" s="36">
        <f t="shared" si="45"/>
        <v>0.08</v>
      </c>
      <c r="N453" s="82">
        <f t="shared" si="46"/>
        <v>0</v>
      </c>
      <c r="O453" s="82">
        <f t="shared" si="47"/>
        <v>0</v>
      </c>
    </row>
    <row r="454" spans="3:15" hidden="1" x14ac:dyDescent="0.35">
      <c r="C454" s="82">
        <v>21</v>
      </c>
      <c r="D454" s="36">
        <v>0.25</v>
      </c>
      <c r="E454" s="6">
        <v>100</v>
      </c>
      <c r="F454" s="6">
        <v>110</v>
      </c>
      <c r="G454" s="6">
        <v>109</v>
      </c>
      <c r="H454" s="6">
        <v>285.7</v>
      </c>
      <c r="J454" s="36">
        <f t="shared" si="44"/>
        <v>0.1</v>
      </c>
      <c r="K454" s="6">
        <f t="shared" si="48"/>
        <v>9</v>
      </c>
      <c r="L454" s="6">
        <f t="shared" si="49"/>
        <v>264.7</v>
      </c>
      <c r="M454" s="36">
        <f t="shared" si="45"/>
        <v>0.09</v>
      </c>
      <c r="N454" s="82">
        <f t="shared" si="46"/>
        <v>0</v>
      </c>
      <c r="O454" s="82">
        <f t="shared" si="47"/>
        <v>0</v>
      </c>
    </row>
    <row r="455" spans="3:15" hidden="1" x14ac:dyDescent="0.35">
      <c r="C455" s="82">
        <v>21</v>
      </c>
      <c r="D455" s="36">
        <v>0.25</v>
      </c>
      <c r="E455" s="6">
        <v>100</v>
      </c>
      <c r="F455" s="6">
        <v>110</v>
      </c>
      <c r="G455" s="6">
        <v>110</v>
      </c>
      <c r="H455" s="6">
        <v>313.89999999999998</v>
      </c>
      <c r="J455" s="36">
        <f t="shared" si="44"/>
        <v>0.1</v>
      </c>
      <c r="K455" s="6">
        <f t="shared" si="48"/>
        <v>10</v>
      </c>
      <c r="L455" s="6">
        <f t="shared" si="49"/>
        <v>292.89999999999998</v>
      </c>
      <c r="M455" s="36">
        <f t="shared" si="45"/>
        <v>0.1</v>
      </c>
      <c r="N455" s="82">
        <f t="shared" si="46"/>
        <v>1</v>
      </c>
      <c r="O455" s="82">
        <f t="shared" si="47"/>
        <v>0</v>
      </c>
    </row>
    <row r="456" spans="3:15" hidden="1" x14ac:dyDescent="0.35">
      <c r="C456" s="82">
        <v>21</v>
      </c>
      <c r="D456" s="36">
        <v>0.25</v>
      </c>
      <c r="E456" s="6">
        <v>100</v>
      </c>
      <c r="F456" s="6">
        <v>110</v>
      </c>
      <c r="G456" s="6">
        <v>115</v>
      </c>
      <c r="H456" s="6">
        <v>455.5</v>
      </c>
      <c r="J456" s="36">
        <f t="shared" si="44"/>
        <v>0.1</v>
      </c>
      <c r="K456" s="6">
        <f t="shared" si="48"/>
        <v>15</v>
      </c>
      <c r="L456" s="6">
        <f t="shared" si="49"/>
        <v>434.5</v>
      </c>
      <c r="M456" s="36">
        <f t="shared" si="45"/>
        <v>0.15</v>
      </c>
      <c r="N456" s="82">
        <f t="shared" si="46"/>
        <v>0</v>
      </c>
      <c r="O456" s="82">
        <f t="shared" si="47"/>
        <v>0</v>
      </c>
    </row>
    <row r="457" spans="3:15" hidden="1" x14ac:dyDescent="0.35">
      <c r="C457" s="82">
        <v>21</v>
      </c>
      <c r="D457" s="36">
        <v>0.25</v>
      </c>
      <c r="E457" s="6">
        <v>100</v>
      </c>
      <c r="F457" s="6">
        <v>110</v>
      </c>
      <c r="G457" s="6">
        <v>120</v>
      </c>
      <c r="H457" s="6">
        <v>598</v>
      </c>
      <c r="J457" s="36">
        <f t="shared" si="44"/>
        <v>0.1</v>
      </c>
      <c r="K457" s="6">
        <f t="shared" si="48"/>
        <v>20</v>
      </c>
      <c r="L457" s="6">
        <f t="shared" si="49"/>
        <v>577</v>
      </c>
      <c r="M457" s="36">
        <f t="shared" si="45"/>
        <v>0.2</v>
      </c>
      <c r="N457" s="82">
        <f t="shared" si="46"/>
        <v>0</v>
      </c>
      <c r="O457" s="82">
        <f t="shared" si="47"/>
        <v>1</v>
      </c>
    </row>
    <row r="458" spans="3:15" hidden="1" x14ac:dyDescent="0.35">
      <c r="C458" s="82">
        <v>21</v>
      </c>
      <c r="D458" s="36">
        <v>0.25</v>
      </c>
      <c r="E458" s="6">
        <v>100</v>
      </c>
      <c r="F458" s="6">
        <v>110</v>
      </c>
      <c r="G458" s="6">
        <v>125</v>
      </c>
      <c r="H458" s="6">
        <v>740.6</v>
      </c>
      <c r="J458" s="36">
        <f t="shared" si="44"/>
        <v>0.1</v>
      </c>
      <c r="K458" s="6">
        <f t="shared" si="48"/>
        <v>25</v>
      </c>
      <c r="L458" s="6">
        <f t="shared" si="49"/>
        <v>719.6</v>
      </c>
      <c r="M458" s="36">
        <f t="shared" si="45"/>
        <v>0.25</v>
      </c>
      <c r="N458" s="82">
        <f t="shared" si="46"/>
        <v>0</v>
      </c>
      <c r="O458" s="82">
        <f t="shared" si="47"/>
        <v>0</v>
      </c>
    </row>
    <row r="459" spans="3:15" hidden="1" x14ac:dyDescent="0.35">
      <c r="C459" s="82">
        <v>21</v>
      </c>
      <c r="D459" s="36">
        <v>0.25</v>
      </c>
      <c r="E459" s="6">
        <v>100</v>
      </c>
      <c r="F459" s="6">
        <v>115</v>
      </c>
      <c r="G459" s="6">
        <v>101</v>
      </c>
      <c r="H459" s="6">
        <v>90.2</v>
      </c>
      <c r="J459" s="36">
        <f t="shared" si="44"/>
        <v>0.15</v>
      </c>
      <c r="K459" s="6">
        <f t="shared" si="48"/>
        <v>1</v>
      </c>
      <c r="L459" s="6">
        <f t="shared" si="49"/>
        <v>69.2</v>
      </c>
      <c r="M459" s="36">
        <f t="shared" si="45"/>
        <v>0.01</v>
      </c>
      <c r="N459" s="82">
        <f t="shared" si="46"/>
        <v>0</v>
      </c>
      <c r="O459" s="82">
        <f t="shared" si="47"/>
        <v>0</v>
      </c>
    </row>
    <row r="460" spans="3:15" hidden="1" x14ac:dyDescent="0.35">
      <c r="C460" s="82">
        <v>21</v>
      </c>
      <c r="D460" s="36">
        <v>0.25</v>
      </c>
      <c r="E460" s="6">
        <v>100</v>
      </c>
      <c r="F460" s="6">
        <v>115</v>
      </c>
      <c r="G460" s="6">
        <v>102</v>
      </c>
      <c r="H460" s="6">
        <v>135.4</v>
      </c>
      <c r="J460" s="36">
        <f t="shared" si="44"/>
        <v>0.15</v>
      </c>
      <c r="K460" s="6">
        <f t="shared" si="48"/>
        <v>2</v>
      </c>
      <c r="L460" s="6">
        <f t="shared" si="49"/>
        <v>114.4</v>
      </c>
      <c r="M460" s="36">
        <f t="shared" si="45"/>
        <v>0.02</v>
      </c>
      <c r="N460" s="82">
        <f t="shared" si="46"/>
        <v>0</v>
      </c>
      <c r="O460" s="82">
        <f t="shared" si="47"/>
        <v>0</v>
      </c>
    </row>
    <row r="461" spans="3:15" hidden="1" x14ac:dyDescent="0.35">
      <c r="C461" s="82">
        <v>21</v>
      </c>
      <c r="D461" s="36">
        <v>0.25</v>
      </c>
      <c r="E461" s="6">
        <v>100</v>
      </c>
      <c r="F461" s="6">
        <v>115</v>
      </c>
      <c r="G461" s="6">
        <v>103</v>
      </c>
      <c r="H461" s="6">
        <v>177.1</v>
      </c>
      <c r="J461" s="36">
        <f t="shared" si="44"/>
        <v>0.15</v>
      </c>
      <c r="K461" s="6">
        <f t="shared" si="48"/>
        <v>3</v>
      </c>
      <c r="L461" s="6">
        <f t="shared" si="49"/>
        <v>156.1</v>
      </c>
      <c r="M461" s="36">
        <f t="shared" si="45"/>
        <v>0.03</v>
      </c>
      <c r="N461" s="82">
        <f t="shared" si="46"/>
        <v>0</v>
      </c>
      <c r="O461" s="82">
        <f t="shared" si="47"/>
        <v>0</v>
      </c>
    </row>
    <row r="462" spans="3:15" hidden="1" x14ac:dyDescent="0.35">
      <c r="C462" s="82">
        <v>21</v>
      </c>
      <c r="D462" s="36">
        <v>0.25</v>
      </c>
      <c r="E462" s="6">
        <v>100</v>
      </c>
      <c r="F462" s="6">
        <v>115</v>
      </c>
      <c r="G462" s="6">
        <v>104</v>
      </c>
      <c r="H462" s="6">
        <v>217.1</v>
      </c>
      <c r="J462" s="36">
        <f t="shared" si="44"/>
        <v>0.15</v>
      </c>
      <c r="K462" s="6">
        <f t="shared" si="48"/>
        <v>4</v>
      </c>
      <c r="L462" s="6">
        <f t="shared" si="49"/>
        <v>196.1</v>
      </c>
      <c r="M462" s="36">
        <f t="shared" si="45"/>
        <v>0.04</v>
      </c>
      <c r="N462" s="82">
        <f t="shared" si="46"/>
        <v>0</v>
      </c>
      <c r="O462" s="82">
        <f t="shared" si="47"/>
        <v>0</v>
      </c>
    </row>
    <row r="463" spans="3:15" hidden="1" x14ac:dyDescent="0.35">
      <c r="C463" s="82">
        <v>21</v>
      </c>
      <c r="D463" s="36">
        <v>0.25</v>
      </c>
      <c r="E463" s="6">
        <v>100</v>
      </c>
      <c r="F463" s="6">
        <v>115</v>
      </c>
      <c r="G463" s="6">
        <v>105</v>
      </c>
      <c r="H463" s="6">
        <v>256.2</v>
      </c>
      <c r="J463" s="36">
        <f t="shared" si="44"/>
        <v>0.15</v>
      </c>
      <c r="K463" s="6">
        <f t="shared" si="48"/>
        <v>5</v>
      </c>
      <c r="L463" s="6">
        <f t="shared" si="49"/>
        <v>235.2</v>
      </c>
      <c r="M463" s="36">
        <f t="shared" si="45"/>
        <v>0.05</v>
      </c>
      <c r="N463" s="82">
        <f t="shared" si="46"/>
        <v>0</v>
      </c>
      <c r="O463" s="82">
        <f t="shared" si="47"/>
        <v>0</v>
      </c>
    </row>
    <row r="464" spans="3:15" hidden="1" x14ac:dyDescent="0.35">
      <c r="C464" s="82">
        <v>21</v>
      </c>
      <c r="D464" s="36">
        <v>0.25</v>
      </c>
      <c r="E464" s="6">
        <v>100</v>
      </c>
      <c r="F464" s="6">
        <v>115</v>
      </c>
      <c r="G464" s="6">
        <v>106</v>
      </c>
      <c r="H464" s="6">
        <v>294.7</v>
      </c>
      <c r="J464" s="36">
        <f t="shared" si="44"/>
        <v>0.15</v>
      </c>
      <c r="K464" s="6">
        <f t="shared" si="48"/>
        <v>6</v>
      </c>
      <c r="L464" s="6">
        <f t="shared" si="49"/>
        <v>273.7</v>
      </c>
      <c r="M464" s="36">
        <f t="shared" si="45"/>
        <v>0.06</v>
      </c>
      <c r="N464" s="82">
        <f t="shared" si="46"/>
        <v>0</v>
      </c>
      <c r="O464" s="82">
        <f t="shared" si="47"/>
        <v>0</v>
      </c>
    </row>
    <row r="465" spans="3:15" hidden="1" x14ac:dyDescent="0.35">
      <c r="C465" s="82">
        <v>21</v>
      </c>
      <c r="D465" s="36">
        <v>0.25</v>
      </c>
      <c r="E465" s="6">
        <v>100</v>
      </c>
      <c r="F465" s="6">
        <v>115</v>
      </c>
      <c r="G465" s="6">
        <v>107</v>
      </c>
      <c r="H465" s="6">
        <v>332.9</v>
      </c>
      <c r="J465" s="36">
        <f t="shared" si="44"/>
        <v>0.15</v>
      </c>
      <c r="K465" s="6">
        <f t="shared" si="48"/>
        <v>7</v>
      </c>
      <c r="L465" s="6">
        <f t="shared" si="49"/>
        <v>311.89999999999998</v>
      </c>
      <c r="M465" s="36">
        <f t="shared" si="45"/>
        <v>7.0000000000000007E-2</v>
      </c>
      <c r="N465" s="82">
        <f t="shared" si="46"/>
        <v>0</v>
      </c>
      <c r="O465" s="82">
        <f t="shared" si="47"/>
        <v>0</v>
      </c>
    </row>
    <row r="466" spans="3:15" hidden="1" x14ac:dyDescent="0.35">
      <c r="C466" s="82">
        <v>21</v>
      </c>
      <c r="D466" s="36">
        <v>0.25</v>
      </c>
      <c r="E466" s="6">
        <v>100</v>
      </c>
      <c r="F466" s="6">
        <v>115</v>
      </c>
      <c r="G466" s="6">
        <v>108</v>
      </c>
      <c r="H466" s="6">
        <v>370.8</v>
      </c>
      <c r="J466" s="36">
        <f t="shared" ref="J466:J484" si="50">(F466-E466)/E466</f>
        <v>0.15</v>
      </c>
      <c r="K466" s="6">
        <f t="shared" si="48"/>
        <v>8</v>
      </c>
      <c r="L466" s="6">
        <f t="shared" si="49"/>
        <v>349.8</v>
      </c>
      <c r="M466" s="36">
        <f t="shared" ref="M466:M484" si="51">K466/E466</f>
        <v>0.08</v>
      </c>
      <c r="N466" s="82">
        <f t="shared" ref="N466:N484" si="52">IF(M466=J466,1,0)</f>
        <v>0</v>
      </c>
      <c r="O466" s="82">
        <f t="shared" ref="O466:O529" si="53">IF(J466=0,0,IF(M466/J466=2,1,0))</f>
        <v>0</v>
      </c>
    </row>
    <row r="467" spans="3:15" hidden="1" x14ac:dyDescent="0.35">
      <c r="C467" s="82">
        <v>21</v>
      </c>
      <c r="D467" s="36">
        <v>0.25</v>
      </c>
      <c r="E467" s="6">
        <v>100</v>
      </c>
      <c r="F467" s="6">
        <v>115</v>
      </c>
      <c r="G467" s="6">
        <v>109</v>
      </c>
      <c r="H467" s="6">
        <v>408.5</v>
      </c>
      <c r="J467" s="36">
        <f t="shared" si="50"/>
        <v>0.15</v>
      </c>
      <c r="K467" s="6">
        <f t="shared" si="48"/>
        <v>9</v>
      </c>
      <c r="L467" s="6">
        <f t="shared" si="49"/>
        <v>387.5</v>
      </c>
      <c r="M467" s="36">
        <f t="shared" si="51"/>
        <v>0.09</v>
      </c>
      <c r="N467" s="82">
        <f t="shared" si="52"/>
        <v>0</v>
      </c>
      <c r="O467" s="82">
        <f t="shared" si="53"/>
        <v>0</v>
      </c>
    </row>
    <row r="468" spans="3:15" hidden="1" x14ac:dyDescent="0.35">
      <c r="C468" s="82">
        <v>21</v>
      </c>
      <c r="D468" s="36">
        <v>0.25</v>
      </c>
      <c r="E468" s="6">
        <v>100</v>
      </c>
      <c r="F468" s="6">
        <v>115</v>
      </c>
      <c r="G468" s="6">
        <v>110</v>
      </c>
      <c r="H468" s="6">
        <v>446</v>
      </c>
      <c r="J468" s="36">
        <f t="shared" si="50"/>
        <v>0.15</v>
      </c>
      <c r="K468" s="6">
        <f t="shared" si="48"/>
        <v>10</v>
      </c>
      <c r="L468" s="6">
        <f t="shared" si="49"/>
        <v>425</v>
      </c>
      <c r="M468" s="36">
        <f t="shared" si="51"/>
        <v>0.1</v>
      </c>
      <c r="N468" s="82">
        <f t="shared" si="52"/>
        <v>0</v>
      </c>
      <c r="O468" s="82">
        <f t="shared" si="53"/>
        <v>0</v>
      </c>
    </row>
    <row r="469" spans="3:15" hidden="1" x14ac:dyDescent="0.35">
      <c r="C469" s="82">
        <v>21</v>
      </c>
      <c r="D469" s="36">
        <v>0.25</v>
      </c>
      <c r="E469" s="6">
        <v>100</v>
      </c>
      <c r="F469" s="6">
        <v>115</v>
      </c>
      <c r="G469" s="6">
        <v>115</v>
      </c>
      <c r="H469" s="6">
        <v>631.79999999999995</v>
      </c>
      <c r="J469" s="36">
        <f t="shared" si="50"/>
        <v>0.15</v>
      </c>
      <c r="K469" s="6">
        <f t="shared" si="48"/>
        <v>15</v>
      </c>
      <c r="L469" s="6">
        <f t="shared" si="49"/>
        <v>610.79999999999995</v>
      </c>
      <c r="M469" s="36">
        <f t="shared" si="51"/>
        <v>0.15</v>
      </c>
      <c r="N469" s="82">
        <f t="shared" si="52"/>
        <v>1</v>
      </c>
      <c r="O469" s="82">
        <f t="shared" si="53"/>
        <v>0</v>
      </c>
    </row>
    <row r="470" spans="3:15" hidden="1" x14ac:dyDescent="0.35">
      <c r="C470" s="82">
        <v>21</v>
      </c>
      <c r="D470" s="36">
        <v>0.25</v>
      </c>
      <c r="E470" s="6">
        <v>100</v>
      </c>
      <c r="F470" s="6">
        <v>115</v>
      </c>
      <c r="G470" s="6">
        <v>120</v>
      </c>
      <c r="H470" s="6">
        <v>815</v>
      </c>
      <c r="J470" s="36">
        <f t="shared" si="50"/>
        <v>0.15</v>
      </c>
      <c r="K470" s="6">
        <f t="shared" si="48"/>
        <v>20</v>
      </c>
      <c r="L470" s="6">
        <f t="shared" si="49"/>
        <v>794</v>
      </c>
      <c r="M470" s="36">
        <f t="shared" si="51"/>
        <v>0.2</v>
      </c>
      <c r="N470" s="82">
        <f t="shared" si="52"/>
        <v>0</v>
      </c>
      <c r="O470" s="82">
        <f t="shared" si="53"/>
        <v>0</v>
      </c>
    </row>
    <row r="471" spans="3:15" hidden="1" x14ac:dyDescent="0.35">
      <c r="C471" s="82">
        <v>21</v>
      </c>
      <c r="D471" s="36">
        <v>0.25</v>
      </c>
      <c r="E471" s="6">
        <v>100</v>
      </c>
      <c r="F471" s="6">
        <v>115</v>
      </c>
      <c r="G471" s="6">
        <v>125</v>
      </c>
      <c r="H471" s="6">
        <v>995.8</v>
      </c>
      <c r="J471" s="36">
        <f t="shared" si="50"/>
        <v>0.15</v>
      </c>
      <c r="K471" s="6">
        <f t="shared" si="48"/>
        <v>25</v>
      </c>
      <c r="L471" s="6">
        <f t="shared" si="49"/>
        <v>974.8</v>
      </c>
      <c r="M471" s="36">
        <f t="shared" si="51"/>
        <v>0.25</v>
      </c>
      <c r="N471" s="82">
        <f t="shared" si="52"/>
        <v>0</v>
      </c>
      <c r="O471" s="82">
        <f t="shared" si="53"/>
        <v>0</v>
      </c>
    </row>
    <row r="472" spans="3:15" hidden="1" x14ac:dyDescent="0.35">
      <c r="C472" s="82">
        <v>21</v>
      </c>
      <c r="D472" s="36">
        <v>0.25</v>
      </c>
      <c r="E472" s="6">
        <v>100</v>
      </c>
      <c r="F472" s="6">
        <v>120</v>
      </c>
      <c r="G472" s="6">
        <v>101</v>
      </c>
      <c r="H472" s="6">
        <v>129.6</v>
      </c>
      <c r="J472" s="36">
        <f t="shared" si="50"/>
        <v>0.2</v>
      </c>
      <c r="K472" s="6">
        <f t="shared" si="48"/>
        <v>1</v>
      </c>
      <c r="L472" s="6">
        <f t="shared" si="49"/>
        <v>108.6</v>
      </c>
      <c r="M472" s="36">
        <f t="shared" si="51"/>
        <v>0.01</v>
      </c>
      <c r="N472" s="82">
        <f t="shared" si="52"/>
        <v>0</v>
      </c>
      <c r="O472" s="82">
        <f t="shared" si="53"/>
        <v>0</v>
      </c>
    </row>
    <row r="473" spans="3:15" hidden="1" x14ac:dyDescent="0.35">
      <c r="C473" s="82">
        <v>21</v>
      </c>
      <c r="D473" s="36">
        <v>0.25</v>
      </c>
      <c r="E473" s="6">
        <v>100</v>
      </c>
      <c r="F473" s="6">
        <v>120</v>
      </c>
      <c r="G473" s="6">
        <v>102</v>
      </c>
      <c r="H473" s="6">
        <v>190.5</v>
      </c>
      <c r="J473" s="36">
        <f t="shared" si="50"/>
        <v>0.2</v>
      </c>
      <c r="K473" s="6">
        <f t="shared" si="48"/>
        <v>2</v>
      </c>
      <c r="L473" s="6">
        <f t="shared" si="49"/>
        <v>169.5</v>
      </c>
      <c r="M473" s="36">
        <f t="shared" si="51"/>
        <v>0.02</v>
      </c>
      <c r="N473" s="82">
        <f t="shared" si="52"/>
        <v>0</v>
      </c>
      <c r="O473" s="82">
        <f t="shared" si="53"/>
        <v>0</v>
      </c>
    </row>
    <row r="474" spans="3:15" hidden="1" x14ac:dyDescent="0.35">
      <c r="C474" s="82">
        <v>21</v>
      </c>
      <c r="D474" s="36">
        <v>0.25</v>
      </c>
      <c r="E474" s="6">
        <v>100</v>
      </c>
      <c r="F474" s="6">
        <v>120</v>
      </c>
      <c r="G474" s="6">
        <v>103</v>
      </c>
      <c r="H474" s="6">
        <v>245.3</v>
      </c>
      <c r="J474" s="36">
        <f t="shared" si="50"/>
        <v>0.2</v>
      </c>
      <c r="K474" s="6">
        <f t="shared" si="48"/>
        <v>3</v>
      </c>
      <c r="L474" s="6">
        <f t="shared" si="49"/>
        <v>224.3</v>
      </c>
      <c r="M474" s="36">
        <f t="shared" si="51"/>
        <v>0.03</v>
      </c>
      <c r="N474" s="82">
        <f t="shared" si="52"/>
        <v>0</v>
      </c>
      <c r="O474" s="82">
        <f t="shared" si="53"/>
        <v>0</v>
      </c>
    </row>
    <row r="475" spans="3:15" hidden="1" x14ac:dyDescent="0.35">
      <c r="C475" s="82">
        <v>21</v>
      </c>
      <c r="D475" s="36">
        <v>0.25</v>
      </c>
      <c r="E475" s="6">
        <v>100</v>
      </c>
      <c r="F475" s="6">
        <v>120</v>
      </c>
      <c r="G475" s="6">
        <v>104</v>
      </c>
      <c r="H475" s="6">
        <v>297.10000000000002</v>
      </c>
      <c r="J475" s="36">
        <f t="shared" si="50"/>
        <v>0.2</v>
      </c>
      <c r="K475" s="6">
        <f t="shared" si="48"/>
        <v>4</v>
      </c>
      <c r="L475" s="6">
        <f t="shared" si="49"/>
        <v>276.10000000000002</v>
      </c>
      <c r="M475" s="36">
        <f t="shared" si="51"/>
        <v>0.04</v>
      </c>
      <c r="N475" s="82">
        <f t="shared" si="52"/>
        <v>0</v>
      </c>
      <c r="O475" s="82">
        <f t="shared" si="53"/>
        <v>0</v>
      </c>
    </row>
    <row r="476" spans="3:15" hidden="1" x14ac:dyDescent="0.35">
      <c r="C476" s="82">
        <v>21</v>
      </c>
      <c r="D476" s="36">
        <v>0.25</v>
      </c>
      <c r="E476" s="6">
        <v>100</v>
      </c>
      <c r="F476" s="6">
        <v>120</v>
      </c>
      <c r="G476" s="6">
        <v>105</v>
      </c>
      <c r="H476" s="6">
        <v>347.2</v>
      </c>
      <c r="J476" s="36">
        <f t="shared" si="50"/>
        <v>0.2</v>
      </c>
      <c r="K476" s="6">
        <f t="shared" si="48"/>
        <v>5</v>
      </c>
      <c r="L476" s="6">
        <f t="shared" si="49"/>
        <v>326.2</v>
      </c>
      <c r="M476" s="36">
        <f t="shared" si="51"/>
        <v>0.05</v>
      </c>
      <c r="N476" s="82">
        <f t="shared" si="52"/>
        <v>0</v>
      </c>
      <c r="O476" s="82">
        <f t="shared" si="53"/>
        <v>0</v>
      </c>
    </row>
    <row r="477" spans="3:15" hidden="1" x14ac:dyDescent="0.35">
      <c r="C477" s="82">
        <v>21</v>
      </c>
      <c r="D477" s="36">
        <v>0.25</v>
      </c>
      <c r="E477" s="6">
        <v>100</v>
      </c>
      <c r="F477" s="6">
        <v>120</v>
      </c>
      <c r="G477" s="6">
        <v>106</v>
      </c>
      <c r="H477" s="6">
        <v>396.2</v>
      </c>
      <c r="J477" s="36">
        <f t="shared" si="50"/>
        <v>0.2</v>
      </c>
      <c r="K477" s="6">
        <f t="shared" si="48"/>
        <v>6</v>
      </c>
      <c r="L477" s="6">
        <f t="shared" si="49"/>
        <v>375.2</v>
      </c>
      <c r="M477" s="36">
        <f t="shared" si="51"/>
        <v>0.06</v>
      </c>
      <c r="N477" s="82">
        <f t="shared" si="52"/>
        <v>0</v>
      </c>
      <c r="O477" s="82">
        <f t="shared" si="53"/>
        <v>0</v>
      </c>
    </row>
    <row r="478" spans="3:15" hidden="1" x14ac:dyDescent="0.35">
      <c r="C478" s="82">
        <v>21</v>
      </c>
      <c r="D478" s="36">
        <v>0.25</v>
      </c>
      <c r="E478" s="6">
        <v>100</v>
      </c>
      <c r="F478" s="6">
        <v>120</v>
      </c>
      <c r="G478" s="6">
        <v>107</v>
      </c>
      <c r="H478" s="6">
        <v>444.3</v>
      </c>
      <c r="J478" s="36">
        <f t="shared" si="50"/>
        <v>0.2</v>
      </c>
      <c r="K478" s="6">
        <f t="shared" si="48"/>
        <v>7</v>
      </c>
      <c r="L478" s="6">
        <f t="shared" si="49"/>
        <v>423.3</v>
      </c>
      <c r="M478" s="36">
        <f t="shared" si="51"/>
        <v>7.0000000000000007E-2</v>
      </c>
      <c r="N478" s="82">
        <f t="shared" si="52"/>
        <v>0</v>
      </c>
      <c r="O478" s="82">
        <f t="shared" si="53"/>
        <v>0</v>
      </c>
    </row>
    <row r="479" spans="3:15" hidden="1" x14ac:dyDescent="0.35">
      <c r="C479" s="82">
        <v>21</v>
      </c>
      <c r="D479" s="36">
        <v>0.25</v>
      </c>
      <c r="E479" s="6">
        <v>100</v>
      </c>
      <c r="F479" s="6">
        <v>120</v>
      </c>
      <c r="G479" s="6">
        <v>108</v>
      </c>
      <c r="H479" s="6">
        <v>491.9</v>
      </c>
      <c r="J479" s="36">
        <f t="shared" si="50"/>
        <v>0.2</v>
      </c>
      <c r="K479" s="6">
        <f t="shared" si="48"/>
        <v>8</v>
      </c>
      <c r="L479" s="6">
        <f t="shared" si="49"/>
        <v>470.9</v>
      </c>
      <c r="M479" s="36">
        <f t="shared" si="51"/>
        <v>0.08</v>
      </c>
      <c r="N479" s="82">
        <f t="shared" si="52"/>
        <v>0</v>
      </c>
      <c r="O479" s="82">
        <f t="shared" si="53"/>
        <v>0</v>
      </c>
    </row>
    <row r="480" spans="3:15" hidden="1" x14ac:dyDescent="0.35">
      <c r="C480" s="82">
        <v>21</v>
      </c>
      <c r="D480" s="36">
        <v>0.25</v>
      </c>
      <c r="E480" s="6">
        <v>100</v>
      </c>
      <c r="F480" s="6">
        <v>120</v>
      </c>
      <c r="G480" s="6">
        <v>109</v>
      </c>
      <c r="H480" s="6">
        <v>538.79999999999995</v>
      </c>
      <c r="J480" s="36">
        <f t="shared" si="50"/>
        <v>0.2</v>
      </c>
      <c r="K480" s="6">
        <f t="shared" si="48"/>
        <v>9</v>
      </c>
      <c r="L480" s="6">
        <f t="shared" si="49"/>
        <v>517.79999999999995</v>
      </c>
      <c r="M480" s="36">
        <f t="shared" si="51"/>
        <v>0.09</v>
      </c>
      <c r="N480" s="82">
        <f t="shared" si="52"/>
        <v>0</v>
      </c>
      <c r="O480" s="82">
        <f t="shared" si="53"/>
        <v>0</v>
      </c>
    </row>
    <row r="481" spans="3:15" hidden="1" x14ac:dyDescent="0.35">
      <c r="C481" s="82">
        <v>21</v>
      </c>
      <c r="D481" s="36">
        <v>0.25</v>
      </c>
      <c r="E481" s="6">
        <v>100</v>
      </c>
      <c r="F481" s="6">
        <v>120</v>
      </c>
      <c r="G481" s="6">
        <v>110</v>
      </c>
      <c r="H481" s="6">
        <v>585.4</v>
      </c>
      <c r="J481" s="36">
        <f t="shared" si="50"/>
        <v>0.2</v>
      </c>
      <c r="K481" s="6">
        <f t="shared" si="48"/>
        <v>10</v>
      </c>
      <c r="L481" s="6">
        <f t="shared" si="49"/>
        <v>564.4</v>
      </c>
      <c r="M481" s="36">
        <f t="shared" si="51"/>
        <v>0.1</v>
      </c>
      <c r="N481" s="82">
        <f t="shared" si="52"/>
        <v>0</v>
      </c>
      <c r="O481" s="82">
        <f t="shared" si="53"/>
        <v>0</v>
      </c>
    </row>
    <row r="482" spans="3:15" hidden="1" x14ac:dyDescent="0.35">
      <c r="C482" s="82">
        <v>21</v>
      </c>
      <c r="D482" s="36">
        <v>0.25</v>
      </c>
      <c r="E482" s="6">
        <v>100</v>
      </c>
      <c r="F482" s="6">
        <v>120</v>
      </c>
      <c r="G482" s="6">
        <v>115</v>
      </c>
      <c r="H482" s="6">
        <v>813.2</v>
      </c>
      <c r="J482" s="36">
        <f t="shared" si="50"/>
        <v>0.2</v>
      </c>
      <c r="K482" s="6">
        <f t="shared" si="48"/>
        <v>15</v>
      </c>
      <c r="L482" s="6">
        <f t="shared" si="49"/>
        <v>792.2</v>
      </c>
      <c r="M482" s="36">
        <f t="shared" si="51"/>
        <v>0.15</v>
      </c>
      <c r="N482" s="82">
        <f t="shared" si="52"/>
        <v>0</v>
      </c>
      <c r="O482" s="82">
        <f t="shared" si="53"/>
        <v>0</v>
      </c>
    </row>
    <row r="483" spans="3:15" hidden="1" x14ac:dyDescent="0.35">
      <c r="C483" s="82">
        <v>21</v>
      </c>
      <c r="D483" s="36">
        <v>0.25</v>
      </c>
      <c r="E483" s="6">
        <v>100</v>
      </c>
      <c r="F483" s="6">
        <v>120</v>
      </c>
      <c r="G483" s="6">
        <v>120</v>
      </c>
      <c r="H483" s="6">
        <v>1034.7</v>
      </c>
      <c r="J483" s="36">
        <f t="shared" si="50"/>
        <v>0.2</v>
      </c>
      <c r="K483" s="6">
        <f t="shared" si="48"/>
        <v>20</v>
      </c>
      <c r="L483" s="6">
        <f t="shared" si="49"/>
        <v>1013.7</v>
      </c>
      <c r="M483" s="36">
        <f t="shared" si="51"/>
        <v>0.2</v>
      </c>
      <c r="N483" s="82">
        <f t="shared" si="52"/>
        <v>1</v>
      </c>
      <c r="O483" s="82">
        <f t="shared" si="53"/>
        <v>0</v>
      </c>
    </row>
    <row r="484" spans="3:15" hidden="1" x14ac:dyDescent="0.35">
      <c r="C484" s="82">
        <v>21</v>
      </c>
      <c r="D484" s="36">
        <v>0.25</v>
      </c>
      <c r="E484" s="6">
        <v>100</v>
      </c>
      <c r="F484" s="6">
        <v>120</v>
      </c>
      <c r="G484" s="6">
        <v>125</v>
      </c>
      <c r="H484" s="6">
        <v>1250.8</v>
      </c>
      <c r="J484" s="36">
        <f t="shared" si="50"/>
        <v>0.2</v>
      </c>
      <c r="K484" s="6">
        <f t="shared" si="48"/>
        <v>25</v>
      </c>
      <c r="L484" s="6">
        <f t="shared" si="49"/>
        <v>1229.8</v>
      </c>
      <c r="M484" s="36">
        <f t="shared" si="51"/>
        <v>0.25</v>
      </c>
      <c r="N484" s="82">
        <f t="shared" si="52"/>
        <v>0</v>
      </c>
      <c r="O484" s="82">
        <f t="shared" si="53"/>
        <v>0</v>
      </c>
    </row>
    <row r="485" spans="3:15" hidden="1" x14ac:dyDescent="0.35">
      <c r="C485" s="82">
        <v>1</v>
      </c>
      <c r="D485" s="36">
        <v>0.15</v>
      </c>
      <c r="E485" s="6">
        <v>100</v>
      </c>
      <c r="F485" s="6">
        <v>101</v>
      </c>
      <c r="G485" s="6">
        <v>101</v>
      </c>
      <c r="H485" s="6">
        <v>10.8</v>
      </c>
      <c r="J485" s="36">
        <f t="shared" ref="J485:J548" si="54">(F485-E485)/E485</f>
        <v>0.01</v>
      </c>
      <c r="K485" s="6">
        <f t="shared" ref="K485:K548" si="55">G485-E485</f>
        <v>1</v>
      </c>
      <c r="L485" s="6">
        <f t="shared" ref="L485:L548" si="56">H485-C485</f>
        <v>9.8000000000000007</v>
      </c>
      <c r="M485" s="36">
        <f t="shared" ref="M485:M548" si="57">K485/E485</f>
        <v>0.01</v>
      </c>
      <c r="N485" s="82">
        <f t="shared" ref="N485:N548" si="58">IF(M485=J485,1,0)</f>
        <v>1</v>
      </c>
      <c r="O485" s="82">
        <f t="shared" si="53"/>
        <v>0</v>
      </c>
    </row>
    <row r="486" spans="3:15" hidden="1" x14ac:dyDescent="0.35">
      <c r="C486" s="82">
        <v>1</v>
      </c>
      <c r="D486" s="36">
        <v>0.15</v>
      </c>
      <c r="E486" s="6">
        <v>100</v>
      </c>
      <c r="F486" s="6">
        <v>102</v>
      </c>
      <c r="G486" s="6">
        <v>102</v>
      </c>
      <c r="H486" s="6">
        <v>39.299999999999997</v>
      </c>
      <c r="J486" s="36">
        <f t="shared" si="54"/>
        <v>0.02</v>
      </c>
      <c r="K486" s="6">
        <f t="shared" si="55"/>
        <v>2</v>
      </c>
      <c r="L486" s="6">
        <f t="shared" si="56"/>
        <v>38.299999999999997</v>
      </c>
      <c r="M486" s="36">
        <f t="shared" si="57"/>
        <v>0.02</v>
      </c>
      <c r="N486" s="82">
        <f t="shared" si="58"/>
        <v>1</v>
      </c>
      <c r="O486" s="82">
        <f t="shared" si="53"/>
        <v>0</v>
      </c>
    </row>
    <row r="487" spans="3:15" hidden="1" x14ac:dyDescent="0.35">
      <c r="C487" s="82">
        <v>1</v>
      </c>
      <c r="D487" s="36">
        <v>0.15</v>
      </c>
      <c r="E487" s="6">
        <v>100</v>
      </c>
      <c r="F487" s="6">
        <v>103</v>
      </c>
      <c r="G487" s="6">
        <v>103</v>
      </c>
      <c r="H487" s="6">
        <v>86.6</v>
      </c>
      <c r="J487" s="36">
        <f t="shared" si="54"/>
        <v>0.03</v>
      </c>
      <c r="K487" s="6">
        <f t="shared" si="55"/>
        <v>3</v>
      </c>
      <c r="L487" s="6">
        <f t="shared" si="56"/>
        <v>85.6</v>
      </c>
      <c r="M487" s="36">
        <f t="shared" si="57"/>
        <v>0.03</v>
      </c>
      <c r="N487" s="82">
        <f t="shared" si="58"/>
        <v>1</v>
      </c>
      <c r="O487" s="82">
        <f t="shared" si="53"/>
        <v>0</v>
      </c>
    </row>
    <row r="488" spans="3:15" hidden="1" x14ac:dyDescent="0.35">
      <c r="C488" s="82">
        <v>1</v>
      </c>
      <c r="D488" s="36">
        <v>0.15</v>
      </c>
      <c r="E488" s="6">
        <v>100</v>
      </c>
      <c r="F488" s="6">
        <v>104</v>
      </c>
      <c r="G488" s="6">
        <v>104</v>
      </c>
      <c r="H488" s="6">
        <v>150.9</v>
      </c>
      <c r="J488" s="36">
        <f t="shared" si="54"/>
        <v>0.04</v>
      </c>
      <c r="K488" s="6">
        <f t="shared" si="55"/>
        <v>4</v>
      </c>
      <c r="L488" s="6">
        <f t="shared" si="56"/>
        <v>149.9</v>
      </c>
      <c r="M488" s="36">
        <f t="shared" si="57"/>
        <v>0.04</v>
      </c>
      <c r="N488" s="82">
        <f t="shared" si="58"/>
        <v>1</v>
      </c>
      <c r="O488" s="82">
        <f t="shared" si="53"/>
        <v>0</v>
      </c>
    </row>
    <row r="489" spans="3:15" hidden="1" x14ac:dyDescent="0.35">
      <c r="C489" s="82">
        <v>1</v>
      </c>
      <c r="D489" s="36">
        <v>0.15</v>
      </c>
      <c r="E489" s="6">
        <v>100</v>
      </c>
      <c r="F489" s="6">
        <v>105</v>
      </c>
      <c r="G489" s="6">
        <v>105</v>
      </c>
      <c r="H489" s="6">
        <v>231.5</v>
      </c>
      <c r="J489" s="36">
        <f t="shared" si="54"/>
        <v>0.05</v>
      </c>
      <c r="K489" s="6">
        <f t="shared" si="55"/>
        <v>5</v>
      </c>
      <c r="L489" s="6">
        <f t="shared" si="56"/>
        <v>230.5</v>
      </c>
      <c r="M489" s="36">
        <f t="shared" si="57"/>
        <v>0.05</v>
      </c>
      <c r="N489" s="82">
        <f t="shared" si="58"/>
        <v>1</v>
      </c>
      <c r="O489" s="82">
        <f t="shared" si="53"/>
        <v>0</v>
      </c>
    </row>
    <row r="490" spans="3:15" hidden="1" x14ac:dyDescent="0.35">
      <c r="C490" s="82">
        <v>1</v>
      </c>
      <c r="D490" s="36">
        <v>0.15</v>
      </c>
      <c r="E490" s="6">
        <v>100</v>
      </c>
      <c r="F490" s="6">
        <v>110</v>
      </c>
      <c r="G490" s="6">
        <v>110</v>
      </c>
      <c r="H490" s="6">
        <v>846.1</v>
      </c>
      <c r="J490" s="36">
        <f t="shared" si="54"/>
        <v>0.1</v>
      </c>
      <c r="K490" s="6">
        <f t="shared" si="55"/>
        <v>10</v>
      </c>
      <c r="L490" s="6">
        <f t="shared" si="56"/>
        <v>845.1</v>
      </c>
      <c r="M490" s="36">
        <f t="shared" si="57"/>
        <v>0.1</v>
      </c>
      <c r="N490" s="82">
        <f t="shared" si="58"/>
        <v>1</v>
      </c>
      <c r="O490" s="82">
        <f t="shared" si="53"/>
        <v>0</v>
      </c>
    </row>
    <row r="491" spans="3:15" hidden="1" x14ac:dyDescent="0.35">
      <c r="C491" s="82">
        <v>1</v>
      </c>
      <c r="D491" s="36">
        <v>0.15</v>
      </c>
      <c r="E491" s="6">
        <v>100</v>
      </c>
      <c r="F491" s="6">
        <v>115</v>
      </c>
      <c r="G491" s="6">
        <v>115</v>
      </c>
      <c r="H491" s="6">
        <v>1749.8</v>
      </c>
      <c r="J491" s="36">
        <f t="shared" si="54"/>
        <v>0.15</v>
      </c>
      <c r="K491" s="6">
        <f t="shared" si="55"/>
        <v>15</v>
      </c>
      <c r="L491" s="6">
        <f t="shared" si="56"/>
        <v>1748.8</v>
      </c>
      <c r="M491" s="36">
        <f t="shared" si="57"/>
        <v>0.15</v>
      </c>
      <c r="N491" s="82">
        <f t="shared" si="58"/>
        <v>1</v>
      </c>
      <c r="O491" s="82">
        <f t="shared" si="53"/>
        <v>0</v>
      </c>
    </row>
    <row r="492" spans="3:15" hidden="1" x14ac:dyDescent="0.35">
      <c r="C492" s="82">
        <v>1</v>
      </c>
      <c r="D492" s="36">
        <v>0.15</v>
      </c>
      <c r="E492" s="6">
        <v>100</v>
      </c>
      <c r="F492" s="6">
        <v>120</v>
      </c>
      <c r="G492" s="6">
        <v>120</v>
      </c>
      <c r="H492" s="6">
        <v>2873.3</v>
      </c>
      <c r="J492" s="36">
        <f t="shared" si="54"/>
        <v>0.2</v>
      </c>
      <c r="K492" s="6">
        <f t="shared" si="55"/>
        <v>20</v>
      </c>
      <c r="L492" s="6">
        <f t="shared" si="56"/>
        <v>2872.3</v>
      </c>
      <c r="M492" s="36">
        <f t="shared" si="57"/>
        <v>0.2</v>
      </c>
      <c r="N492" s="82">
        <f t="shared" si="58"/>
        <v>1</v>
      </c>
      <c r="O492" s="82">
        <f t="shared" si="53"/>
        <v>0</v>
      </c>
    </row>
    <row r="493" spans="3:15" hidden="1" x14ac:dyDescent="0.35">
      <c r="C493" s="82">
        <v>7</v>
      </c>
      <c r="D493" s="36">
        <v>0.15</v>
      </c>
      <c r="E493" s="6">
        <v>100</v>
      </c>
      <c r="F493" s="6">
        <v>101</v>
      </c>
      <c r="G493" s="6">
        <v>101</v>
      </c>
      <c r="H493" s="6">
        <v>20.399999999999999</v>
      </c>
      <c r="J493" s="36">
        <f t="shared" si="54"/>
        <v>0.01</v>
      </c>
      <c r="K493" s="6">
        <f t="shared" si="55"/>
        <v>1</v>
      </c>
      <c r="L493" s="6">
        <f t="shared" si="56"/>
        <v>13.399999999999999</v>
      </c>
      <c r="M493" s="36">
        <f t="shared" si="57"/>
        <v>0.01</v>
      </c>
      <c r="N493" s="82">
        <f t="shared" si="58"/>
        <v>1</v>
      </c>
      <c r="O493" s="82">
        <f t="shared" si="53"/>
        <v>0</v>
      </c>
    </row>
    <row r="494" spans="3:15" hidden="1" x14ac:dyDescent="0.35">
      <c r="C494" s="82">
        <v>7</v>
      </c>
      <c r="D494" s="36">
        <v>0.15</v>
      </c>
      <c r="E494" s="6">
        <v>100</v>
      </c>
      <c r="F494" s="6">
        <v>102</v>
      </c>
      <c r="G494" s="6">
        <v>102</v>
      </c>
      <c r="H494" s="6">
        <v>47.1</v>
      </c>
      <c r="J494" s="36">
        <f t="shared" si="54"/>
        <v>0.02</v>
      </c>
      <c r="K494" s="6">
        <f t="shared" si="55"/>
        <v>2</v>
      </c>
      <c r="L494" s="6">
        <f t="shared" si="56"/>
        <v>40.1</v>
      </c>
      <c r="M494" s="36">
        <f t="shared" si="57"/>
        <v>0.02</v>
      </c>
      <c r="N494" s="82">
        <f t="shared" si="58"/>
        <v>1</v>
      </c>
      <c r="O494" s="82">
        <f t="shared" si="53"/>
        <v>0</v>
      </c>
    </row>
    <row r="495" spans="3:15" hidden="1" x14ac:dyDescent="0.35">
      <c r="C495" s="82">
        <v>7</v>
      </c>
      <c r="D495" s="36">
        <v>0.15</v>
      </c>
      <c r="E495" s="6">
        <v>100</v>
      </c>
      <c r="F495" s="6">
        <v>103</v>
      </c>
      <c r="G495" s="6">
        <v>103</v>
      </c>
      <c r="H495" s="6">
        <v>90.8</v>
      </c>
      <c r="J495" s="36">
        <f t="shared" si="54"/>
        <v>0.03</v>
      </c>
      <c r="K495" s="6">
        <f t="shared" si="55"/>
        <v>3</v>
      </c>
      <c r="L495" s="6">
        <f t="shared" si="56"/>
        <v>83.8</v>
      </c>
      <c r="M495" s="36">
        <f t="shared" si="57"/>
        <v>0.03</v>
      </c>
      <c r="N495" s="82">
        <f t="shared" si="58"/>
        <v>1</v>
      </c>
      <c r="O495" s="82">
        <f t="shared" si="53"/>
        <v>0</v>
      </c>
    </row>
    <row r="496" spans="3:15" hidden="1" x14ac:dyDescent="0.35">
      <c r="C496" s="82">
        <v>7</v>
      </c>
      <c r="D496" s="36">
        <v>0.15</v>
      </c>
      <c r="E496" s="6">
        <v>100</v>
      </c>
      <c r="F496" s="6">
        <v>104</v>
      </c>
      <c r="G496" s="6">
        <v>104</v>
      </c>
      <c r="H496" s="6">
        <v>152.80000000000001</v>
      </c>
      <c r="J496" s="36">
        <f t="shared" si="54"/>
        <v>0.04</v>
      </c>
      <c r="K496" s="6">
        <f t="shared" si="55"/>
        <v>4</v>
      </c>
      <c r="L496" s="6">
        <f t="shared" si="56"/>
        <v>145.80000000000001</v>
      </c>
      <c r="M496" s="36">
        <f t="shared" si="57"/>
        <v>0.04</v>
      </c>
      <c r="N496" s="82">
        <f t="shared" si="58"/>
        <v>1</v>
      </c>
      <c r="O496" s="82">
        <f t="shared" si="53"/>
        <v>0</v>
      </c>
    </row>
    <row r="497" spans="3:15" hidden="1" x14ac:dyDescent="0.35">
      <c r="C497" s="82">
        <v>7</v>
      </c>
      <c r="D497" s="36">
        <v>0.15</v>
      </c>
      <c r="E497" s="6">
        <v>100</v>
      </c>
      <c r="F497" s="6">
        <v>105</v>
      </c>
      <c r="G497" s="6">
        <v>105</v>
      </c>
      <c r="H497" s="6">
        <v>232.1</v>
      </c>
      <c r="J497" s="36">
        <f t="shared" si="54"/>
        <v>0.05</v>
      </c>
      <c r="K497" s="6">
        <f t="shared" si="55"/>
        <v>5</v>
      </c>
      <c r="L497" s="6">
        <f t="shared" si="56"/>
        <v>225.1</v>
      </c>
      <c r="M497" s="36">
        <f t="shared" si="57"/>
        <v>0.05</v>
      </c>
      <c r="N497" s="82">
        <f t="shared" si="58"/>
        <v>1</v>
      </c>
      <c r="O497" s="82">
        <f t="shared" si="53"/>
        <v>0</v>
      </c>
    </row>
    <row r="498" spans="3:15" hidden="1" x14ac:dyDescent="0.35">
      <c r="C498" s="82">
        <v>7</v>
      </c>
      <c r="D498" s="36">
        <v>0.15</v>
      </c>
      <c r="E498" s="6">
        <v>100</v>
      </c>
      <c r="F498" s="6">
        <v>110</v>
      </c>
      <c r="G498" s="6">
        <v>110</v>
      </c>
      <c r="H498" s="6">
        <v>846.1</v>
      </c>
      <c r="J498" s="36">
        <f t="shared" si="54"/>
        <v>0.1</v>
      </c>
      <c r="K498" s="6">
        <f t="shared" si="55"/>
        <v>10</v>
      </c>
      <c r="L498" s="6">
        <f t="shared" si="56"/>
        <v>839.1</v>
      </c>
      <c r="M498" s="36">
        <f t="shared" si="57"/>
        <v>0.1</v>
      </c>
      <c r="N498" s="82">
        <f t="shared" si="58"/>
        <v>1</v>
      </c>
      <c r="O498" s="82">
        <f t="shared" si="53"/>
        <v>0</v>
      </c>
    </row>
    <row r="499" spans="3:15" hidden="1" x14ac:dyDescent="0.35">
      <c r="C499" s="82">
        <v>7</v>
      </c>
      <c r="D499" s="36">
        <v>0.15</v>
      </c>
      <c r="E499" s="6">
        <v>100</v>
      </c>
      <c r="F499" s="6">
        <v>115</v>
      </c>
      <c r="G499" s="6">
        <v>115</v>
      </c>
      <c r="H499" s="6">
        <v>1749.8</v>
      </c>
      <c r="J499" s="36">
        <f t="shared" si="54"/>
        <v>0.15</v>
      </c>
      <c r="K499" s="6">
        <f t="shared" si="55"/>
        <v>15</v>
      </c>
      <c r="L499" s="6">
        <f t="shared" si="56"/>
        <v>1742.8</v>
      </c>
      <c r="M499" s="36">
        <f t="shared" si="57"/>
        <v>0.15</v>
      </c>
      <c r="N499" s="82">
        <f t="shared" si="58"/>
        <v>1</v>
      </c>
      <c r="O499" s="82">
        <f t="shared" si="53"/>
        <v>0</v>
      </c>
    </row>
    <row r="500" spans="3:15" hidden="1" x14ac:dyDescent="0.35">
      <c r="C500" s="82">
        <v>7</v>
      </c>
      <c r="D500" s="36">
        <v>0.15</v>
      </c>
      <c r="E500" s="6">
        <v>100</v>
      </c>
      <c r="F500" s="6">
        <v>120</v>
      </c>
      <c r="G500" s="6">
        <v>120</v>
      </c>
      <c r="H500" s="6">
        <v>2873.3</v>
      </c>
      <c r="J500" s="36">
        <f t="shared" si="54"/>
        <v>0.2</v>
      </c>
      <c r="K500" s="6">
        <f t="shared" si="55"/>
        <v>20</v>
      </c>
      <c r="L500" s="6">
        <f t="shared" si="56"/>
        <v>2866.3</v>
      </c>
      <c r="M500" s="36">
        <f t="shared" si="57"/>
        <v>0.2</v>
      </c>
      <c r="N500" s="82">
        <f t="shared" si="58"/>
        <v>1</v>
      </c>
      <c r="O500" s="82">
        <f t="shared" si="53"/>
        <v>0</v>
      </c>
    </row>
    <row r="501" spans="3:15" hidden="1" x14ac:dyDescent="0.35">
      <c r="C501" s="82">
        <v>14</v>
      </c>
      <c r="D501" s="36">
        <v>0.15</v>
      </c>
      <c r="E501" s="6">
        <v>100</v>
      </c>
      <c r="F501" s="6">
        <v>101</v>
      </c>
      <c r="G501" s="6">
        <v>101</v>
      </c>
      <c r="H501" s="6">
        <v>30.5</v>
      </c>
      <c r="J501" s="36">
        <f t="shared" si="54"/>
        <v>0.01</v>
      </c>
      <c r="K501" s="6">
        <f t="shared" si="55"/>
        <v>1</v>
      </c>
      <c r="L501" s="6">
        <f t="shared" si="56"/>
        <v>16.5</v>
      </c>
      <c r="M501" s="36">
        <f t="shared" si="57"/>
        <v>0.01</v>
      </c>
      <c r="N501" s="82">
        <f t="shared" si="58"/>
        <v>1</v>
      </c>
      <c r="O501" s="82">
        <f t="shared" si="53"/>
        <v>0</v>
      </c>
    </row>
    <row r="502" spans="3:15" hidden="1" x14ac:dyDescent="0.35">
      <c r="C502" s="82">
        <v>14</v>
      </c>
      <c r="D502" s="36">
        <v>0.15</v>
      </c>
      <c r="E502" s="6">
        <v>100</v>
      </c>
      <c r="F502" s="6">
        <v>102</v>
      </c>
      <c r="G502" s="6">
        <v>102</v>
      </c>
      <c r="H502" s="6">
        <v>58.5</v>
      </c>
      <c r="J502" s="36">
        <f t="shared" si="54"/>
        <v>0.02</v>
      </c>
      <c r="K502" s="6">
        <f t="shared" si="55"/>
        <v>2</v>
      </c>
      <c r="L502" s="6">
        <f t="shared" si="56"/>
        <v>44.5</v>
      </c>
      <c r="M502" s="36">
        <f t="shared" si="57"/>
        <v>0.02</v>
      </c>
      <c r="N502" s="82">
        <f t="shared" si="58"/>
        <v>1</v>
      </c>
      <c r="O502" s="82">
        <f t="shared" si="53"/>
        <v>0</v>
      </c>
    </row>
    <row r="503" spans="3:15" hidden="1" x14ac:dyDescent="0.35">
      <c r="C503" s="82">
        <v>14</v>
      </c>
      <c r="D503" s="36">
        <v>0.15</v>
      </c>
      <c r="E503" s="6">
        <v>100</v>
      </c>
      <c r="F503" s="6">
        <v>103</v>
      </c>
      <c r="G503" s="6">
        <v>103</v>
      </c>
      <c r="H503" s="6">
        <v>101.3</v>
      </c>
      <c r="J503" s="36">
        <f t="shared" si="54"/>
        <v>0.03</v>
      </c>
      <c r="K503" s="6">
        <f t="shared" si="55"/>
        <v>3</v>
      </c>
      <c r="L503" s="6">
        <f t="shared" si="56"/>
        <v>87.3</v>
      </c>
      <c r="M503" s="36">
        <f t="shared" si="57"/>
        <v>0.03</v>
      </c>
      <c r="N503" s="82">
        <f t="shared" si="58"/>
        <v>1</v>
      </c>
      <c r="O503" s="82">
        <f t="shared" si="53"/>
        <v>0</v>
      </c>
    </row>
    <row r="504" spans="3:15" hidden="1" x14ac:dyDescent="0.35">
      <c r="C504" s="82">
        <v>14</v>
      </c>
      <c r="D504" s="36">
        <v>0.15</v>
      </c>
      <c r="E504" s="6">
        <v>100</v>
      </c>
      <c r="F504" s="6">
        <v>104</v>
      </c>
      <c r="G504" s="6">
        <v>104</v>
      </c>
      <c r="H504" s="6">
        <v>160.69999999999999</v>
      </c>
      <c r="J504" s="36">
        <f t="shared" si="54"/>
        <v>0.04</v>
      </c>
      <c r="K504" s="6">
        <f t="shared" si="55"/>
        <v>4</v>
      </c>
      <c r="L504" s="6">
        <f t="shared" si="56"/>
        <v>146.69999999999999</v>
      </c>
      <c r="M504" s="36">
        <f t="shared" si="57"/>
        <v>0.04</v>
      </c>
      <c r="N504" s="82">
        <f t="shared" si="58"/>
        <v>1</v>
      </c>
      <c r="O504" s="82">
        <f t="shared" si="53"/>
        <v>0</v>
      </c>
    </row>
    <row r="505" spans="3:15" hidden="1" x14ac:dyDescent="0.35">
      <c r="C505" s="82">
        <v>14</v>
      </c>
      <c r="D505" s="36">
        <v>0.15</v>
      </c>
      <c r="E505" s="6">
        <v>100</v>
      </c>
      <c r="F505" s="6">
        <v>105</v>
      </c>
      <c r="G505" s="6">
        <v>105</v>
      </c>
      <c r="H505" s="6">
        <v>237.1</v>
      </c>
      <c r="J505" s="36">
        <f t="shared" si="54"/>
        <v>0.05</v>
      </c>
      <c r="K505" s="6">
        <f t="shared" si="55"/>
        <v>5</v>
      </c>
      <c r="L505" s="6">
        <f t="shared" si="56"/>
        <v>223.1</v>
      </c>
      <c r="M505" s="36">
        <f t="shared" si="57"/>
        <v>0.05</v>
      </c>
      <c r="N505" s="82">
        <f t="shared" si="58"/>
        <v>1</v>
      </c>
      <c r="O505" s="82">
        <f t="shared" si="53"/>
        <v>0</v>
      </c>
    </row>
    <row r="506" spans="3:15" hidden="1" x14ac:dyDescent="0.35">
      <c r="C506" s="82">
        <v>14</v>
      </c>
      <c r="D506" s="36">
        <v>0.15</v>
      </c>
      <c r="E506" s="6">
        <v>100</v>
      </c>
      <c r="F506" s="6">
        <v>110</v>
      </c>
      <c r="G506" s="6">
        <v>110</v>
      </c>
      <c r="H506" s="6">
        <v>846.2</v>
      </c>
      <c r="J506" s="36">
        <f t="shared" si="54"/>
        <v>0.1</v>
      </c>
      <c r="K506" s="6">
        <f t="shared" si="55"/>
        <v>10</v>
      </c>
      <c r="L506" s="6">
        <f t="shared" si="56"/>
        <v>832.2</v>
      </c>
      <c r="M506" s="36">
        <f t="shared" si="57"/>
        <v>0.1</v>
      </c>
      <c r="N506" s="82">
        <f t="shared" si="58"/>
        <v>1</v>
      </c>
      <c r="O506" s="82">
        <f t="shared" si="53"/>
        <v>0</v>
      </c>
    </row>
    <row r="507" spans="3:15" hidden="1" x14ac:dyDescent="0.35">
      <c r="C507" s="82">
        <v>14</v>
      </c>
      <c r="D507" s="36">
        <v>0.15</v>
      </c>
      <c r="E507" s="6">
        <v>100</v>
      </c>
      <c r="F507" s="6">
        <v>115</v>
      </c>
      <c r="G507" s="6">
        <v>115</v>
      </c>
      <c r="H507" s="6">
        <v>1749.8</v>
      </c>
      <c r="J507" s="36">
        <f t="shared" si="54"/>
        <v>0.15</v>
      </c>
      <c r="K507" s="6">
        <f t="shared" si="55"/>
        <v>15</v>
      </c>
      <c r="L507" s="6">
        <f t="shared" si="56"/>
        <v>1735.8</v>
      </c>
      <c r="M507" s="36">
        <f t="shared" si="57"/>
        <v>0.15</v>
      </c>
      <c r="N507" s="82">
        <f t="shared" si="58"/>
        <v>1</v>
      </c>
      <c r="O507" s="82">
        <f t="shared" si="53"/>
        <v>0</v>
      </c>
    </row>
    <row r="508" spans="3:15" hidden="1" x14ac:dyDescent="0.35">
      <c r="C508" s="82">
        <v>14</v>
      </c>
      <c r="D508" s="36">
        <v>0.15</v>
      </c>
      <c r="E508" s="6">
        <v>100</v>
      </c>
      <c r="F508" s="6">
        <v>120</v>
      </c>
      <c r="G508" s="6">
        <v>120</v>
      </c>
      <c r="H508" s="6">
        <v>2873.3</v>
      </c>
      <c r="J508" s="36">
        <f t="shared" si="54"/>
        <v>0.2</v>
      </c>
      <c r="K508" s="6">
        <f t="shared" si="55"/>
        <v>20</v>
      </c>
      <c r="L508" s="6">
        <f t="shared" si="56"/>
        <v>2859.3</v>
      </c>
      <c r="M508" s="36">
        <f t="shared" si="57"/>
        <v>0.2</v>
      </c>
      <c r="N508" s="82">
        <f t="shared" si="58"/>
        <v>1</v>
      </c>
      <c r="O508" s="82">
        <f t="shared" si="53"/>
        <v>0</v>
      </c>
    </row>
    <row r="509" spans="3:15" hidden="1" x14ac:dyDescent="0.35">
      <c r="C509" s="82">
        <v>21</v>
      </c>
      <c r="D509" s="36">
        <v>0.15</v>
      </c>
      <c r="E509" s="6">
        <v>100</v>
      </c>
      <c r="F509" s="6">
        <v>101</v>
      </c>
      <c r="G509" s="6">
        <v>101</v>
      </c>
      <c r="H509" s="6">
        <v>39.9</v>
      </c>
      <c r="J509" s="36">
        <f t="shared" si="54"/>
        <v>0.01</v>
      </c>
      <c r="K509" s="6">
        <f t="shared" si="55"/>
        <v>1</v>
      </c>
      <c r="L509" s="6">
        <f t="shared" si="56"/>
        <v>18.899999999999999</v>
      </c>
      <c r="M509" s="36">
        <f t="shared" si="57"/>
        <v>0.01</v>
      </c>
      <c r="N509" s="82">
        <f t="shared" si="58"/>
        <v>1</v>
      </c>
      <c r="O509" s="82">
        <f t="shared" si="53"/>
        <v>0</v>
      </c>
    </row>
    <row r="510" spans="3:15" hidden="1" x14ac:dyDescent="0.35">
      <c r="C510" s="82">
        <v>21</v>
      </c>
      <c r="D510" s="36">
        <v>0.15</v>
      </c>
      <c r="E510" s="6">
        <v>100</v>
      </c>
      <c r="F510" s="6">
        <v>102</v>
      </c>
      <c r="G510" s="6">
        <v>102</v>
      </c>
      <c r="H510" s="6">
        <v>69.599999999999994</v>
      </c>
      <c r="J510" s="36">
        <f t="shared" si="54"/>
        <v>0.02</v>
      </c>
      <c r="K510" s="6">
        <f t="shared" si="55"/>
        <v>2</v>
      </c>
      <c r="L510" s="6">
        <f t="shared" si="56"/>
        <v>48.599999999999994</v>
      </c>
      <c r="M510" s="36">
        <f t="shared" si="57"/>
        <v>0.02</v>
      </c>
      <c r="N510" s="82">
        <f t="shared" si="58"/>
        <v>1</v>
      </c>
      <c r="O510" s="82">
        <f t="shared" si="53"/>
        <v>0</v>
      </c>
    </row>
    <row r="511" spans="3:15" hidden="1" x14ac:dyDescent="0.35">
      <c r="C511" s="82">
        <v>21</v>
      </c>
      <c r="D511" s="36">
        <v>0.15</v>
      </c>
      <c r="E511" s="6">
        <v>100</v>
      </c>
      <c r="F511" s="6">
        <v>103</v>
      </c>
      <c r="G511" s="6">
        <v>103</v>
      </c>
      <c r="H511" s="6">
        <v>112.7</v>
      </c>
      <c r="J511" s="36">
        <f t="shared" si="54"/>
        <v>0.03</v>
      </c>
      <c r="K511" s="6">
        <f t="shared" si="55"/>
        <v>3</v>
      </c>
      <c r="L511" s="6">
        <f t="shared" si="56"/>
        <v>91.7</v>
      </c>
      <c r="M511" s="36">
        <f t="shared" si="57"/>
        <v>0.03</v>
      </c>
      <c r="N511" s="82">
        <f t="shared" si="58"/>
        <v>1</v>
      </c>
      <c r="O511" s="82">
        <f t="shared" si="53"/>
        <v>0</v>
      </c>
    </row>
    <row r="512" spans="3:15" hidden="1" x14ac:dyDescent="0.35">
      <c r="C512" s="82">
        <v>21</v>
      </c>
      <c r="D512" s="36">
        <v>0.15</v>
      </c>
      <c r="E512" s="6">
        <v>100</v>
      </c>
      <c r="F512" s="6">
        <v>104</v>
      </c>
      <c r="G512" s="6">
        <v>104</v>
      </c>
      <c r="H512" s="6">
        <v>171</v>
      </c>
      <c r="J512" s="36">
        <f t="shared" si="54"/>
        <v>0.04</v>
      </c>
      <c r="K512" s="6">
        <f t="shared" si="55"/>
        <v>4</v>
      </c>
      <c r="L512" s="6">
        <f t="shared" si="56"/>
        <v>150</v>
      </c>
      <c r="M512" s="36">
        <f t="shared" si="57"/>
        <v>0.04</v>
      </c>
      <c r="N512" s="82">
        <f t="shared" si="58"/>
        <v>1</v>
      </c>
      <c r="O512" s="82">
        <f t="shared" si="53"/>
        <v>0</v>
      </c>
    </row>
    <row r="513" spans="3:15" hidden="1" x14ac:dyDescent="0.35">
      <c r="C513" s="82">
        <v>21</v>
      </c>
      <c r="D513" s="36">
        <v>0.15</v>
      </c>
      <c r="E513" s="6">
        <v>100</v>
      </c>
      <c r="F513" s="6">
        <v>105</v>
      </c>
      <c r="G513" s="6">
        <v>105</v>
      </c>
      <c r="H513" s="6">
        <v>245.4</v>
      </c>
      <c r="J513" s="36">
        <f t="shared" si="54"/>
        <v>0.05</v>
      </c>
      <c r="K513" s="6">
        <f t="shared" si="55"/>
        <v>5</v>
      </c>
      <c r="L513" s="6">
        <f t="shared" si="56"/>
        <v>224.4</v>
      </c>
      <c r="M513" s="36">
        <f t="shared" si="57"/>
        <v>0.05</v>
      </c>
      <c r="N513" s="82">
        <f t="shared" si="58"/>
        <v>1</v>
      </c>
      <c r="O513" s="82">
        <f t="shared" si="53"/>
        <v>0</v>
      </c>
    </row>
    <row r="514" spans="3:15" hidden="1" x14ac:dyDescent="0.35">
      <c r="C514" s="82">
        <v>21</v>
      </c>
      <c r="D514" s="36">
        <v>0.15</v>
      </c>
      <c r="E514" s="6">
        <v>100</v>
      </c>
      <c r="F514" s="6">
        <v>110</v>
      </c>
      <c r="G514" s="6">
        <v>110</v>
      </c>
      <c r="H514" s="6">
        <v>846.9</v>
      </c>
      <c r="J514" s="36">
        <f t="shared" si="54"/>
        <v>0.1</v>
      </c>
      <c r="K514" s="6">
        <f t="shared" si="55"/>
        <v>10</v>
      </c>
      <c r="L514" s="6">
        <f t="shared" si="56"/>
        <v>825.9</v>
      </c>
      <c r="M514" s="36">
        <f t="shared" si="57"/>
        <v>0.1</v>
      </c>
      <c r="N514" s="82">
        <f t="shared" si="58"/>
        <v>1</v>
      </c>
      <c r="O514" s="82">
        <f t="shared" si="53"/>
        <v>0</v>
      </c>
    </row>
    <row r="515" spans="3:15" hidden="1" x14ac:dyDescent="0.35">
      <c r="C515" s="82">
        <v>21</v>
      </c>
      <c r="D515" s="36">
        <v>0.15</v>
      </c>
      <c r="E515" s="6">
        <v>100</v>
      </c>
      <c r="F515" s="6">
        <v>115</v>
      </c>
      <c r="G515" s="6">
        <v>115</v>
      </c>
      <c r="H515" s="6">
        <v>1749.8</v>
      </c>
      <c r="J515" s="36">
        <f t="shared" si="54"/>
        <v>0.15</v>
      </c>
      <c r="K515" s="6">
        <f t="shared" si="55"/>
        <v>15</v>
      </c>
      <c r="L515" s="6">
        <f t="shared" si="56"/>
        <v>1728.8</v>
      </c>
      <c r="M515" s="36">
        <f t="shared" si="57"/>
        <v>0.15</v>
      </c>
      <c r="N515" s="82">
        <f t="shared" si="58"/>
        <v>1</v>
      </c>
      <c r="O515" s="82">
        <f t="shared" si="53"/>
        <v>0</v>
      </c>
    </row>
    <row r="516" spans="3:15" hidden="1" x14ac:dyDescent="0.35">
      <c r="C516" s="82">
        <v>21</v>
      </c>
      <c r="D516" s="36">
        <v>0.15</v>
      </c>
      <c r="E516" s="6">
        <v>100</v>
      </c>
      <c r="F516" s="6">
        <v>120</v>
      </c>
      <c r="G516" s="6">
        <v>120</v>
      </c>
      <c r="H516" s="6">
        <v>2873.3</v>
      </c>
      <c r="J516" s="36">
        <f t="shared" si="54"/>
        <v>0.2</v>
      </c>
      <c r="K516" s="6">
        <f t="shared" si="55"/>
        <v>20</v>
      </c>
      <c r="L516" s="6">
        <f t="shared" si="56"/>
        <v>2852.3</v>
      </c>
      <c r="M516" s="36">
        <f t="shared" si="57"/>
        <v>0.2</v>
      </c>
      <c r="N516" s="82">
        <f t="shared" si="58"/>
        <v>1</v>
      </c>
      <c r="O516" s="82">
        <f t="shared" si="53"/>
        <v>0</v>
      </c>
    </row>
    <row r="517" spans="3:15" hidden="1" x14ac:dyDescent="0.35">
      <c r="C517" s="82">
        <v>1</v>
      </c>
      <c r="D517" s="36">
        <v>0.4</v>
      </c>
      <c r="E517" s="6">
        <v>100</v>
      </c>
      <c r="F517" s="6">
        <v>101</v>
      </c>
      <c r="G517" s="6">
        <v>101</v>
      </c>
      <c r="H517" s="6">
        <v>2.9</v>
      </c>
      <c r="J517" s="36">
        <f t="shared" si="54"/>
        <v>0.01</v>
      </c>
      <c r="K517" s="6">
        <f t="shared" si="55"/>
        <v>1</v>
      </c>
      <c r="L517" s="6">
        <f t="shared" si="56"/>
        <v>1.9</v>
      </c>
      <c r="M517" s="36">
        <f t="shared" si="57"/>
        <v>0.01</v>
      </c>
      <c r="N517" s="82">
        <f t="shared" si="58"/>
        <v>1</v>
      </c>
      <c r="O517" s="82">
        <f t="shared" si="53"/>
        <v>0</v>
      </c>
    </row>
    <row r="518" spans="3:15" hidden="1" x14ac:dyDescent="0.35">
      <c r="C518" s="82">
        <v>1</v>
      </c>
      <c r="D518" s="36">
        <v>0.4</v>
      </c>
      <c r="E518" s="6">
        <v>100</v>
      </c>
      <c r="F518" s="6">
        <v>102</v>
      </c>
      <c r="G518" s="6">
        <v>102</v>
      </c>
      <c r="H518" s="6">
        <v>6.7</v>
      </c>
      <c r="J518" s="36">
        <f t="shared" si="54"/>
        <v>0.02</v>
      </c>
      <c r="K518" s="6">
        <f t="shared" si="55"/>
        <v>2</v>
      </c>
      <c r="L518" s="6">
        <f t="shared" si="56"/>
        <v>5.7</v>
      </c>
      <c r="M518" s="36">
        <f t="shared" si="57"/>
        <v>0.02</v>
      </c>
      <c r="N518" s="82">
        <f t="shared" si="58"/>
        <v>1</v>
      </c>
      <c r="O518" s="82">
        <f t="shared" si="53"/>
        <v>0</v>
      </c>
    </row>
    <row r="519" spans="3:15" hidden="1" x14ac:dyDescent="0.35">
      <c r="C519" s="82">
        <v>1</v>
      </c>
      <c r="D519" s="36">
        <v>0.4</v>
      </c>
      <c r="E519" s="6">
        <v>100</v>
      </c>
      <c r="F519" s="6">
        <v>103</v>
      </c>
      <c r="G519" s="6">
        <v>103</v>
      </c>
      <c r="H519" s="6">
        <v>12.8</v>
      </c>
      <c r="J519" s="36">
        <f t="shared" si="54"/>
        <v>0.03</v>
      </c>
      <c r="K519" s="6">
        <f t="shared" si="55"/>
        <v>3</v>
      </c>
      <c r="L519" s="6">
        <f t="shared" si="56"/>
        <v>11.8</v>
      </c>
      <c r="M519" s="36">
        <f t="shared" si="57"/>
        <v>0.03</v>
      </c>
      <c r="N519" s="82">
        <f t="shared" si="58"/>
        <v>1</v>
      </c>
      <c r="O519" s="82">
        <f t="shared" si="53"/>
        <v>0</v>
      </c>
    </row>
    <row r="520" spans="3:15" hidden="1" x14ac:dyDescent="0.35">
      <c r="C520" s="82">
        <v>1</v>
      </c>
      <c r="D520" s="36">
        <v>0.4</v>
      </c>
      <c r="E520" s="6">
        <v>100</v>
      </c>
      <c r="F520" s="6">
        <v>104</v>
      </c>
      <c r="G520" s="6">
        <v>104</v>
      </c>
      <c r="H520" s="6">
        <v>21.5</v>
      </c>
      <c r="J520" s="36">
        <f t="shared" si="54"/>
        <v>0.04</v>
      </c>
      <c r="K520" s="6">
        <f t="shared" si="55"/>
        <v>4</v>
      </c>
      <c r="L520" s="6">
        <f t="shared" si="56"/>
        <v>20.5</v>
      </c>
      <c r="M520" s="36">
        <f t="shared" si="57"/>
        <v>0.04</v>
      </c>
      <c r="N520" s="82">
        <f t="shared" si="58"/>
        <v>1</v>
      </c>
      <c r="O520" s="82">
        <f t="shared" si="53"/>
        <v>0</v>
      </c>
    </row>
    <row r="521" spans="3:15" hidden="1" x14ac:dyDescent="0.35">
      <c r="C521" s="82">
        <v>1</v>
      </c>
      <c r="D521" s="36">
        <v>0.4</v>
      </c>
      <c r="E521" s="6">
        <v>100</v>
      </c>
      <c r="F521" s="6">
        <v>105</v>
      </c>
      <c r="G521" s="6">
        <v>105</v>
      </c>
      <c r="H521" s="6">
        <v>32.700000000000003</v>
      </c>
      <c r="J521" s="36">
        <f t="shared" si="54"/>
        <v>0.05</v>
      </c>
      <c r="K521" s="6">
        <f t="shared" si="55"/>
        <v>5</v>
      </c>
      <c r="L521" s="6">
        <f t="shared" si="56"/>
        <v>31.700000000000003</v>
      </c>
      <c r="M521" s="36">
        <f t="shared" si="57"/>
        <v>0.05</v>
      </c>
      <c r="N521" s="82">
        <f t="shared" si="58"/>
        <v>1</v>
      </c>
      <c r="O521" s="82">
        <f t="shared" si="53"/>
        <v>0</v>
      </c>
    </row>
    <row r="522" spans="3:15" hidden="1" x14ac:dyDescent="0.35">
      <c r="C522" s="82">
        <v>1</v>
      </c>
      <c r="D522" s="36">
        <v>0.4</v>
      </c>
      <c r="E522" s="6">
        <v>100</v>
      </c>
      <c r="F522" s="6">
        <v>110</v>
      </c>
      <c r="G522" s="6">
        <v>110</v>
      </c>
      <c r="H522" s="6">
        <v>119</v>
      </c>
      <c r="J522" s="36">
        <f t="shared" si="54"/>
        <v>0.1</v>
      </c>
      <c r="K522" s="6">
        <f t="shared" si="55"/>
        <v>10</v>
      </c>
      <c r="L522" s="6">
        <f t="shared" si="56"/>
        <v>118</v>
      </c>
      <c r="M522" s="36">
        <f t="shared" si="57"/>
        <v>0.1</v>
      </c>
      <c r="N522" s="82">
        <f t="shared" si="58"/>
        <v>1</v>
      </c>
      <c r="O522" s="82">
        <f t="shared" si="53"/>
        <v>0</v>
      </c>
    </row>
    <row r="523" spans="3:15" hidden="1" x14ac:dyDescent="0.35">
      <c r="C523" s="82">
        <v>1</v>
      </c>
      <c r="D523" s="36">
        <v>0.4</v>
      </c>
      <c r="E523" s="6">
        <v>100</v>
      </c>
      <c r="F523" s="6">
        <v>115</v>
      </c>
      <c r="G523" s="6">
        <v>115</v>
      </c>
      <c r="H523" s="6">
        <v>246.1</v>
      </c>
      <c r="J523" s="36">
        <f t="shared" si="54"/>
        <v>0.15</v>
      </c>
      <c r="K523" s="6">
        <f t="shared" si="55"/>
        <v>15</v>
      </c>
      <c r="L523" s="6">
        <f t="shared" si="56"/>
        <v>245.1</v>
      </c>
      <c r="M523" s="36">
        <f t="shared" si="57"/>
        <v>0.15</v>
      </c>
      <c r="N523" s="82">
        <f t="shared" si="58"/>
        <v>1</v>
      </c>
      <c r="O523" s="82">
        <f t="shared" si="53"/>
        <v>0</v>
      </c>
    </row>
    <row r="524" spans="3:15" hidden="1" x14ac:dyDescent="0.35">
      <c r="C524" s="82">
        <v>1</v>
      </c>
      <c r="D524" s="36">
        <v>0.4</v>
      </c>
      <c r="E524" s="6">
        <v>100</v>
      </c>
      <c r="F524" s="6">
        <v>120</v>
      </c>
      <c r="G524" s="6">
        <v>120</v>
      </c>
      <c r="H524" s="6">
        <v>404.1</v>
      </c>
      <c r="J524" s="36">
        <f t="shared" si="54"/>
        <v>0.2</v>
      </c>
      <c r="K524" s="6">
        <f t="shared" si="55"/>
        <v>20</v>
      </c>
      <c r="L524" s="6">
        <f t="shared" si="56"/>
        <v>403.1</v>
      </c>
      <c r="M524" s="36">
        <f t="shared" si="57"/>
        <v>0.2</v>
      </c>
      <c r="N524" s="82">
        <f t="shared" si="58"/>
        <v>1</v>
      </c>
      <c r="O524" s="82">
        <f t="shared" si="53"/>
        <v>0</v>
      </c>
    </row>
    <row r="525" spans="3:15" hidden="1" x14ac:dyDescent="0.35">
      <c r="C525" s="82">
        <v>7</v>
      </c>
      <c r="D525" s="36">
        <v>0.4</v>
      </c>
      <c r="E525" s="6">
        <v>100</v>
      </c>
      <c r="F525" s="6">
        <v>101</v>
      </c>
      <c r="G525" s="6">
        <v>101</v>
      </c>
      <c r="H525" s="6">
        <v>10.7</v>
      </c>
      <c r="J525" s="36">
        <f t="shared" si="54"/>
        <v>0.01</v>
      </c>
      <c r="K525" s="6">
        <f t="shared" si="55"/>
        <v>1</v>
      </c>
      <c r="L525" s="6">
        <f t="shared" si="56"/>
        <v>3.6999999999999993</v>
      </c>
      <c r="M525" s="36">
        <f t="shared" si="57"/>
        <v>0.01</v>
      </c>
      <c r="N525" s="82">
        <f t="shared" si="58"/>
        <v>1</v>
      </c>
      <c r="O525" s="82">
        <f t="shared" si="53"/>
        <v>0</v>
      </c>
    </row>
    <row r="526" spans="3:15" hidden="1" x14ac:dyDescent="0.35">
      <c r="C526" s="82">
        <v>7</v>
      </c>
      <c r="D526" s="36">
        <v>0.4</v>
      </c>
      <c r="E526" s="6">
        <v>100</v>
      </c>
      <c r="F526" s="6">
        <v>102</v>
      </c>
      <c r="G526" s="6">
        <v>102</v>
      </c>
      <c r="H526" s="6">
        <v>15.7</v>
      </c>
      <c r="J526" s="36">
        <f t="shared" si="54"/>
        <v>0.02</v>
      </c>
      <c r="K526" s="6">
        <f t="shared" si="55"/>
        <v>2</v>
      </c>
      <c r="L526" s="6">
        <f t="shared" si="56"/>
        <v>8.6999999999999993</v>
      </c>
      <c r="M526" s="36">
        <f t="shared" si="57"/>
        <v>0.02</v>
      </c>
      <c r="N526" s="82">
        <f t="shared" si="58"/>
        <v>1</v>
      </c>
      <c r="O526" s="82">
        <f t="shared" si="53"/>
        <v>0</v>
      </c>
    </row>
    <row r="527" spans="3:15" hidden="1" x14ac:dyDescent="0.35">
      <c r="C527" s="82">
        <v>7</v>
      </c>
      <c r="D527" s="36">
        <v>0.4</v>
      </c>
      <c r="E527" s="6">
        <v>100</v>
      </c>
      <c r="F527" s="6">
        <v>103</v>
      </c>
      <c r="G527" s="6">
        <v>103</v>
      </c>
      <c r="H527" s="6">
        <v>22.3</v>
      </c>
      <c r="J527" s="36">
        <f t="shared" si="54"/>
        <v>0.03</v>
      </c>
      <c r="K527" s="6">
        <f t="shared" si="55"/>
        <v>3</v>
      </c>
      <c r="L527" s="6">
        <f t="shared" si="56"/>
        <v>15.3</v>
      </c>
      <c r="M527" s="36">
        <f t="shared" si="57"/>
        <v>0.03</v>
      </c>
      <c r="N527" s="82">
        <f t="shared" si="58"/>
        <v>1</v>
      </c>
      <c r="O527" s="82">
        <f t="shared" si="53"/>
        <v>0</v>
      </c>
    </row>
    <row r="528" spans="3:15" hidden="1" x14ac:dyDescent="0.35">
      <c r="C528" s="82">
        <v>7</v>
      </c>
      <c r="D528" s="36">
        <v>0.4</v>
      </c>
      <c r="E528" s="6">
        <v>100</v>
      </c>
      <c r="F528" s="6">
        <v>104</v>
      </c>
      <c r="G528" s="6">
        <v>104</v>
      </c>
      <c r="H528" s="6">
        <v>30.6</v>
      </c>
      <c r="J528" s="36">
        <f t="shared" si="54"/>
        <v>0.04</v>
      </c>
      <c r="K528" s="6">
        <f t="shared" si="55"/>
        <v>4</v>
      </c>
      <c r="L528" s="6">
        <f t="shared" si="56"/>
        <v>23.6</v>
      </c>
      <c r="M528" s="36">
        <f t="shared" si="57"/>
        <v>0.04</v>
      </c>
      <c r="N528" s="82">
        <f t="shared" si="58"/>
        <v>1</v>
      </c>
      <c r="O528" s="82">
        <f t="shared" si="53"/>
        <v>0</v>
      </c>
    </row>
    <row r="529" spans="3:15" hidden="1" x14ac:dyDescent="0.35">
      <c r="C529" s="82">
        <v>7</v>
      </c>
      <c r="D529" s="36">
        <v>0.4</v>
      </c>
      <c r="E529" s="6">
        <v>100</v>
      </c>
      <c r="F529" s="6">
        <v>105</v>
      </c>
      <c r="G529" s="6">
        <v>105</v>
      </c>
      <c r="H529" s="6">
        <v>40.700000000000003</v>
      </c>
      <c r="J529" s="36">
        <f t="shared" si="54"/>
        <v>0.05</v>
      </c>
      <c r="K529" s="6">
        <f t="shared" si="55"/>
        <v>5</v>
      </c>
      <c r="L529" s="6">
        <f t="shared" si="56"/>
        <v>33.700000000000003</v>
      </c>
      <c r="M529" s="36">
        <f t="shared" si="57"/>
        <v>0.05</v>
      </c>
      <c r="N529" s="82">
        <f t="shared" si="58"/>
        <v>1</v>
      </c>
      <c r="O529" s="82">
        <f t="shared" si="53"/>
        <v>0</v>
      </c>
    </row>
    <row r="530" spans="3:15" hidden="1" x14ac:dyDescent="0.35">
      <c r="C530" s="82">
        <v>7</v>
      </c>
      <c r="D530" s="36">
        <v>0.4</v>
      </c>
      <c r="E530" s="6">
        <v>100</v>
      </c>
      <c r="F530" s="6">
        <v>110</v>
      </c>
      <c r="G530" s="6">
        <v>110</v>
      </c>
      <c r="H530" s="6">
        <v>121.5</v>
      </c>
      <c r="J530" s="36">
        <f t="shared" si="54"/>
        <v>0.1</v>
      </c>
      <c r="K530" s="6">
        <f t="shared" si="55"/>
        <v>10</v>
      </c>
      <c r="L530" s="6">
        <f t="shared" si="56"/>
        <v>114.5</v>
      </c>
      <c r="M530" s="36">
        <f t="shared" si="57"/>
        <v>0.1</v>
      </c>
      <c r="N530" s="82">
        <f t="shared" si="58"/>
        <v>1</v>
      </c>
      <c r="O530" s="82">
        <f t="shared" ref="O530:O593" si="59">IF(J530=0,0,IF(M530/J530=2,1,0))</f>
        <v>0</v>
      </c>
    </row>
    <row r="531" spans="3:15" hidden="1" x14ac:dyDescent="0.35">
      <c r="C531" s="82">
        <v>7</v>
      </c>
      <c r="D531" s="36">
        <v>0.4</v>
      </c>
      <c r="E531" s="6">
        <v>100</v>
      </c>
      <c r="F531" s="6">
        <v>115</v>
      </c>
      <c r="G531" s="6">
        <v>115</v>
      </c>
      <c r="H531" s="6">
        <v>246.5</v>
      </c>
      <c r="J531" s="36">
        <f t="shared" si="54"/>
        <v>0.15</v>
      </c>
      <c r="K531" s="6">
        <f t="shared" si="55"/>
        <v>15</v>
      </c>
      <c r="L531" s="6">
        <f t="shared" si="56"/>
        <v>239.5</v>
      </c>
      <c r="M531" s="36">
        <f t="shared" si="57"/>
        <v>0.15</v>
      </c>
      <c r="N531" s="82">
        <f t="shared" si="58"/>
        <v>1</v>
      </c>
      <c r="O531" s="82">
        <f t="shared" si="59"/>
        <v>0</v>
      </c>
    </row>
    <row r="532" spans="3:15" hidden="1" x14ac:dyDescent="0.35">
      <c r="C532" s="82">
        <v>7</v>
      </c>
      <c r="D532" s="36">
        <v>0.4</v>
      </c>
      <c r="E532" s="6">
        <v>100</v>
      </c>
      <c r="F532" s="6">
        <v>120</v>
      </c>
      <c r="G532" s="6">
        <v>120</v>
      </c>
      <c r="H532" s="6">
        <v>404.1</v>
      </c>
      <c r="J532" s="36">
        <f t="shared" si="54"/>
        <v>0.2</v>
      </c>
      <c r="K532" s="6">
        <f t="shared" si="55"/>
        <v>20</v>
      </c>
      <c r="L532" s="6">
        <f t="shared" si="56"/>
        <v>397.1</v>
      </c>
      <c r="M532" s="36">
        <f t="shared" si="57"/>
        <v>0.2</v>
      </c>
      <c r="N532" s="82">
        <f t="shared" si="58"/>
        <v>1</v>
      </c>
      <c r="O532" s="82">
        <f t="shared" si="59"/>
        <v>0</v>
      </c>
    </row>
    <row r="533" spans="3:15" hidden="1" x14ac:dyDescent="0.35">
      <c r="C533" s="82">
        <v>14</v>
      </c>
      <c r="D533" s="36">
        <v>0.4</v>
      </c>
      <c r="E533" s="6">
        <v>100</v>
      </c>
      <c r="F533" s="6">
        <v>101</v>
      </c>
      <c r="G533" s="6">
        <v>101</v>
      </c>
      <c r="H533" s="6">
        <v>18.899999999999999</v>
      </c>
      <c r="J533" s="36">
        <f t="shared" si="54"/>
        <v>0.01</v>
      </c>
      <c r="K533" s="6">
        <f t="shared" si="55"/>
        <v>1</v>
      </c>
      <c r="L533" s="6">
        <f t="shared" si="56"/>
        <v>4.8999999999999986</v>
      </c>
      <c r="M533" s="36">
        <f t="shared" si="57"/>
        <v>0.01</v>
      </c>
      <c r="N533" s="82">
        <f t="shared" si="58"/>
        <v>1</v>
      </c>
      <c r="O533" s="82">
        <f t="shared" si="59"/>
        <v>0</v>
      </c>
    </row>
    <row r="534" spans="3:15" hidden="1" x14ac:dyDescent="0.35">
      <c r="C534" s="82">
        <v>14</v>
      </c>
      <c r="D534" s="36">
        <v>0.4</v>
      </c>
      <c r="E534" s="6">
        <v>100</v>
      </c>
      <c r="F534" s="6">
        <v>102</v>
      </c>
      <c r="G534" s="6">
        <v>102</v>
      </c>
      <c r="H534" s="6">
        <v>25</v>
      </c>
      <c r="J534" s="36">
        <f t="shared" si="54"/>
        <v>0.02</v>
      </c>
      <c r="K534" s="6">
        <f t="shared" si="55"/>
        <v>2</v>
      </c>
      <c r="L534" s="6">
        <f t="shared" si="56"/>
        <v>11</v>
      </c>
      <c r="M534" s="36">
        <f t="shared" si="57"/>
        <v>0.02</v>
      </c>
      <c r="N534" s="82">
        <f t="shared" si="58"/>
        <v>1</v>
      </c>
      <c r="O534" s="82">
        <f t="shared" si="59"/>
        <v>0</v>
      </c>
    </row>
    <row r="535" spans="3:15" hidden="1" x14ac:dyDescent="0.35">
      <c r="C535" s="82">
        <v>14</v>
      </c>
      <c r="D535" s="36">
        <v>0.4</v>
      </c>
      <c r="E535" s="6">
        <v>100</v>
      </c>
      <c r="F535" s="6">
        <v>103</v>
      </c>
      <c r="G535" s="6">
        <v>103</v>
      </c>
      <c r="H535" s="6">
        <v>32.5</v>
      </c>
      <c r="J535" s="36">
        <f t="shared" si="54"/>
        <v>0.03</v>
      </c>
      <c r="K535" s="6">
        <f t="shared" si="55"/>
        <v>3</v>
      </c>
      <c r="L535" s="6">
        <f t="shared" si="56"/>
        <v>18.5</v>
      </c>
      <c r="M535" s="36">
        <f t="shared" si="57"/>
        <v>0.03</v>
      </c>
      <c r="N535" s="82">
        <f t="shared" si="58"/>
        <v>1</v>
      </c>
      <c r="O535" s="82">
        <f t="shared" si="59"/>
        <v>0</v>
      </c>
    </row>
    <row r="536" spans="3:15" hidden="1" x14ac:dyDescent="0.35">
      <c r="C536" s="82">
        <v>14</v>
      </c>
      <c r="D536" s="36">
        <v>0.4</v>
      </c>
      <c r="E536" s="6">
        <v>100</v>
      </c>
      <c r="F536" s="6">
        <v>104</v>
      </c>
      <c r="G536" s="6">
        <v>104</v>
      </c>
      <c r="H536" s="6">
        <v>41.3</v>
      </c>
      <c r="J536" s="36">
        <f t="shared" si="54"/>
        <v>0.04</v>
      </c>
      <c r="K536" s="6">
        <f t="shared" si="55"/>
        <v>4</v>
      </c>
      <c r="L536" s="6">
        <f t="shared" si="56"/>
        <v>27.299999999999997</v>
      </c>
      <c r="M536" s="36">
        <f t="shared" si="57"/>
        <v>0.04</v>
      </c>
      <c r="N536" s="82">
        <f t="shared" si="58"/>
        <v>1</v>
      </c>
      <c r="O536" s="82">
        <f t="shared" si="59"/>
        <v>0</v>
      </c>
    </row>
    <row r="537" spans="3:15" hidden="1" x14ac:dyDescent="0.35">
      <c r="C537" s="82">
        <v>14</v>
      </c>
      <c r="D537" s="36">
        <v>0.4</v>
      </c>
      <c r="E537" s="6">
        <v>100</v>
      </c>
      <c r="F537" s="6">
        <v>105</v>
      </c>
      <c r="G537" s="6">
        <v>105</v>
      </c>
      <c r="H537" s="6">
        <v>51.8</v>
      </c>
      <c r="J537" s="36">
        <f t="shared" si="54"/>
        <v>0.05</v>
      </c>
      <c r="K537" s="6">
        <f t="shared" si="55"/>
        <v>5</v>
      </c>
      <c r="L537" s="6">
        <f t="shared" si="56"/>
        <v>37.799999999999997</v>
      </c>
      <c r="M537" s="36">
        <f t="shared" si="57"/>
        <v>0.05</v>
      </c>
      <c r="N537" s="82">
        <f t="shared" si="58"/>
        <v>1</v>
      </c>
      <c r="O537" s="82">
        <f t="shared" si="59"/>
        <v>0</v>
      </c>
    </row>
    <row r="538" spans="3:15" hidden="1" x14ac:dyDescent="0.35">
      <c r="C538" s="82">
        <v>14</v>
      </c>
      <c r="D538" s="36">
        <v>0.4</v>
      </c>
      <c r="E538" s="6">
        <v>100</v>
      </c>
      <c r="F538" s="6">
        <v>110</v>
      </c>
      <c r="G538" s="6">
        <v>110</v>
      </c>
      <c r="H538" s="6">
        <v>129.9</v>
      </c>
      <c r="J538" s="36">
        <f t="shared" si="54"/>
        <v>0.1</v>
      </c>
      <c r="K538" s="6">
        <f t="shared" si="55"/>
        <v>10</v>
      </c>
      <c r="L538" s="6">
        <f t="shared" si="56"/>
        <v>115.9</v>
      </c>
      <c r="M538" s="36">
        <f t="shared" si="57"/>
        <v>0.1</v>
      </c>
      <c r="N538" s="82">
        <f t="shared" si="58"/>
        <v>1</v>
      </c>
      <c r="O538" s="82">
        <f t="shared" si="59"/>
        <v>0</v>
      </c>
    </row>
    <row r="539" spans="3:15" hidden="1" x14ac:dyDescent="0.35">
      <c r="C539" s="82">
        <v>14</v>
      </c>
      <c r="D539" s="36">
        <v>0.4</v>
      </c>
      <c r="E539" s="6">
        <v>100</v>
      </c>
      <c r="F539" s="6">
        <v>115</v>
      </c>
      <c r="G539" s="6">
        <v>115</v>
      </c>
      <c r="H539" s="6">
        <v>250.3</v>
      </c>
      <c r="J539" s="36">
        <f t="shared" si="54"/>
        <v>0.15</v>
      </c>
      <c r="K539" s="6">
        <f t="shared" si="55"/>
        <v>15</v>
      </c>
      <c r="L539" s="6">
        <f t="shared" si="56"/>
        <v>236.3</v>
      </c>
      <c r="M539" s="36">
        <f t="shared" si="57"/>
        <v>0.15</v>
      </c>
      <c r="N539" s="82">
        <f t="shared" si="58"/>
        <v>1</v>
      </c>
      <c r="O539" s="82">
        <f t="shared" si="59"/>
        <v>0</v>
      </c>
    </row>
    <row r="540" spans="3:15" hidden="1" x14ac:dyDescent="0.35">
      <c r="C540" s="82">
        <v>14</v>
      </c>
      <c r="D540" s="36">
        <v>0.4</v>
      </c>
      <c r="E540" s="6">
        <v>100</v>
      </c>
      <c r="F540" s="6">
        <v>120</v>
      </c>
      <c r="G540" s="6">
        <v>120</v>
      </c>
      <c r="H540" s="6">
        <v>405.3</v>
      </c>
      <c r="J540" s="36">
        <f t="shared" si="54"/>
        <v>0.2</v>
      </c>
      <c r="K540" s="6">
        <f t="shared" si="55"/>
        <v>20</v>
      </c>
      <c r="L540" s="6">
        <f t="shared" si="56"/>
        <v>391.3</v>
      </c>
      <c r="M540" s="36">
        <f t="shared" si="57"/>
        <v>0.2</v>
      </c>
      <c r="N540" s="82">
        <f t="shared" si="58"/>
        <v>1</v>
      </c>
      <c r="O540" s="82">
        <f t="shared" si="59"/>
        <v>0</v>
      </c>
    </row>
    <row r="541" spans="3:15" hidden="1" x14ac:dyDescent="0.35">
      <c r="C541" s="82">
        <v>21</v>
      </c>
      <c r="D541" s="36">
        <v>0.4</v>
      </c>
      <c r="E541" s="6">
        <v>100</v>
      </c>
      <c r="F541" s="6">
        <v>101</v>
      </c>
      <c r="G541" s="6">
        <v>101</v>
      </c>
      <c r="H541" s="6">
        <v>26.9</v>
      </c>
      <c r="J541" s="36">
        <f t="shared" si="54"/>
        <v>0.01</v>
      </c>
      <c r="K541" s="6">
        <f t="shared" si="55"/>
        <v>1</v>
      </c>
      <c r="L541" s="6">
        <f t="shared" si="56"/>
        <v>5.8999999999999986</v>
      </c>
      <c r="M541" s="36">
        <f t="shared" si="57"/>
        <v>0.01</v>
      </c>
      <c r="N541" s="82">
        <f t="shared" si="58"/>
        <v>1</v>
      </c>
      <c r="O541" s="82">
        <f t="shared" si="59"/>
        <v>0</v>
      </c>
    </row>
    <row r="542" spans="3:15" hidden="1" x14ac:dyDescent="0.35">
      <c r="C542" s="82">
        <v>21</v>
      </c>
      <c r="D542" s="36">
        <v>0.4</v>
      </c>
      <c r="E542" s="6">
        <v>100</v>
      </c>
      <c r="F542" s="6">
        <v>102</v>
      </c>
      <c r="G542" s="6">
        <v>102</v>
      </c>
      <c r="H542" s="6">
        <v>33.799999999999997</v>
      </c>
      <c r="J542" s="36">
        <f t="shared" si="54"/>
        <v>0.02</v>
      </c>
      <c r="K542" s="6">
        <f t="shared" si="55"/>
        <v>2</v>
      </c>
      <c r="L542" s="6">
        <f t="shared" si="56"/>
        <v>12.799999999999997</v>
      </c>
      <c r="M542" s="36">
        <f t="shared" si="57"/>
        <v>0.02</v>
      </c>
      <c r="N542" s="82">
        <f t="shared" si="58"/>
        <v>1</v>
      </c>
      <c r="O542" s="82">
        <f t="shared" si="59"/>
        <v>0</v>
      </c>
    </row>
    <row r="543" spans="3:15" hidden="1" x14ac:dyDescent="0.35">
      <c r="C543" s="82">
        <v>21</v>
      </c>
      <c r="D543" s="36">
        <v>0.4</v>
      </c>
      <c r="E543" s="6">
        <v>100</v>
      </c>
      <c r="F543" s="6">
        <v>103</v>
      </c>
      <c r="G543" s="6">
        <v>103</v>
      </c>
      <c r="H543" s="6">
        <v>42</v>
      </c>
      <c r="J543" s="36">
        <f t="shared" si="54"/>
        <v>0.03</v>
      </c>
      <c r="K543" s="6">
        <f t="shared" si="55"/>
        <v>3</v>
      </c>
      <c r="L543" s="6">
        <f t="shared" si="56"/>
        <v>21</v>
      </c>
      <c r="M543" s="36">
        <f t="shared" si="57"/>
        <v>0.03</v>
      </c>
      <c r="N543" s="82">
        <f t="shared" si="58"/>
        <v>1</v>
      </c>
      <c r="O543" s="82">
        <f t="shared" si="59"/>
        <v>0</v>
      </c>
    </row>
    <row r="544" spans="3:15" hidden="1" x14ac:dyDescent="0.35">
      <c r="C544" s="82">
        <v>21</v>
      </c>
      <c r="D544" s="36">
        <v>0.4</v>
      </c>
      <c r="E544" s="6">
        <v>100</v>
      </c>
      <c r="F544" s="6">
        <v>104</v>
      </c>
      <c r="G544" s="6">
        <v>104</v>
      </c>
      <c r="H544" s="6">
        <v>51.5</v>
      </c>
      <c r="J544" s="36">
        <f t="shared" si="54"/>
        <v>0.04</v>
      </c>
      <c r="K544" s="6">
        <f t="shared" si="55"/>
        <v>4</v>
      </c>
      <c r="L544" s="6">
        <f t="shared" si="56"/>
        <v>30.5</v>
      </c>
      <c r="M544" s="36">
        <f t="shared" si="57"/>
        <v>0.04</v>
      </c>
      <c r="N544" s="82">
        <f t="shared" si="58"/>
        <v>1</v>
      </c>
      <c r="O544" s="82">
        <f t="shared" si="59"/>
        <v>0</v>
      </c>
    </row>
    <row r="545" spans="3:15" hidden="1" x14ac:dyDescent="0.35">
      <c r="C545" s="82">
        <v>21</v>
      </c>
      <c r="D545" s="36">
        <v>0.4</v>
      </c>
      <c r="E545" s="6">
        <v>100</v>
      </c>
      <c r="F545" s="6">
        <v>105</v>
      </c>
      <c r="G545" s="6">
        <v>105</v>
      </c>
      <c r="H545" s="6">
        <v>62.4</v>
      </c>
      <c r="J545" s="36">
        <f t="shared" si="54"/>
        <v>0.05</v>
      </c>
      <c r="K545" s="6">
        <f t="shared" si="55"/>
        <v>5</v>
      </c>
      <c r="L545" s="6">
        <f t="shared" si="56"/>
        <v>41.4</v>
      </c>
      <c r="M545" s="36">
        <f t="shared" si="57"/>
        <v>0.05</v>
      </c>
      <c r="N545" s="82">
        <f t="shared" si="58"/>
        <v>1</v>
      </c>
      <c r="O545" s="82">
        <f t="shared" si="59"/>
        <v>0</v>
      </c>
    </row>
    <row r="546" spans="3:15" hidden="1" x14ac:dyDescent="0.35">
      <c r="C546" s="82">
        <v>21</v>
      </c>
      <c r="D546" s="36">
        <v>0.4</v>
      </c>
      <c r="E546" s="6">
        <v>100</v>
      </c>
      <c r="F546" s="6">
        <v>110</v>
      </c>
      <c r="G546" s="6">
        <v>110</v>
      </c>
      <c r="H546" s="6">
        <v>140.19999999999999</v>
      </c>
      <c r="J546" s="36">
        <f t="shared" si="54"/>
        <v>0.1</v>
      </c>
      <c r="K546" s="6">
        <f t="shared" si="55"/>
        <v>10</v>
      </c>
      <c r="L546" s="6">
        <f t="shared" si="56"/>
        <v>119.19999999999999</v>
      </c>
      <c r="M546" s="36">
        <f t="shared" si="57"/>
        <v>0.1</v>
      </c>
      <c r="N546" s="82">
        <f t="shared" si="58"/>
        <v>1</v>
      </c>
      <c r="O546" s="82">
        <f t="shared" si="59"/>
        <v>0</v>
      </c>
    </row>
    <row r="547" spans="3:15" hidden="1" x14ac:dyDescent="0.35">
      <c r="C547" s="82">
        <v>21</v>
      </c>
      <c r="D547" s="36">
        <v>0.4</v>
      </c>
      <c r="E547" s="6">
        <v>100</v>
      </c>
      <c r="F547" s="6">
        <v>115</v>
      </c>
      <c r="G547" s="6">
        <v>115</v>
      </c>
      <c r="H547" s="6">
        <v>257.2</v>
      </c>
      <c r="J547" s="36">
        <f t="shared" si="54"/>
        <v>0.15</v>
      </c>
      <c r="K547" s="6">
        <f t="shared" si="55"/>
        <v>15</v>
      </c>
      <c r="L547" s="6">
        <f t="shared" si="56"/>
        <v>236.2</v>
      </c>
      <c r="M547" s="36">
        <f t="shared" si="57"/>
        <v>0.15</v>
      </c>
      <c r="N547" s="82">
        <f t="shared" si="58"/>
        <v>1</v>
      </c>
      <c r="O547" s="82">
        <f t="shared" si="59"/>
        <v>0</v>
      </c>
    </row>
    <row r="548" spans="3:15" hidden="1" x14ac:dyDescent="0.35">
      <c r="C548" s="82">
        <v>21</v>
      </c>
      <c r="D548" s="36">
        <v>0.4</v>
      </c>
      <c r="E548" s="6">
        <v>100</v>
      </c>
      <c r="F548" s="6">
        <v>120</v>
      </c>
      <c r="G548" s="6">
        <v>120</v>
      </c>
      <c r="H548" s="6">
        <v>408.9</v>
      </c>
      <c r="J548" s="36">
        <f t="shared" si="54"/>
        <v>0.2</v>
      </c>
      <c r="K548" s="6">
        <f t="shared" si="55"/>
        <v>20</v>
      </c>
      <c r="L548" s="6">
        <f t="shared" si="56"/>
        <v>387.9</v>
      </c>
      <c r="M548" s="36">
        <f t="shared" si="57"/>
        <v>0.2</v>
      </c>
      <c r="N548" s="82">
        <f t="shared" si="58"/>
        <v>1</v>
      </c>
      <c r="O548" s="82">
        <f t="shared" si="59"/>
        <v>0</v>
      </c>
    </row>
    <row r="549" spans="3:15" hidden="1" x14ac:dyDescent="0.35">
      <c r="C549" s="82">
        <v>1</v>
      </c>
      <c r="D549" s="36">
        <v>0.5</v>
      </c>
      <c r="E549" s="6">
        <v>100</v>
      </c>
      <c r="F549" s="6">
        <v>101</v>
      </c>
      <c r="G549" s="6">
        <v>101</v>
      </c>
      <c r="H549" s="6">
        <v>2.4</v>
      </c>
      <c r="J549" s="36">
        <f t="shared" ref="J549:J580" si="60">(F549-E549)/E549</f>
        <v>0.01</v>
      </c>
      <c r="K549" s="6">
        <f t="shared" ref="K549:K580" si="61">G549-E549</f>
        <v>1</v>
      </c>
      <c r="L549" s="6">
        <f t="shared" ref="L549:L580" si="62">H549-C549</f>
        <v>1.4</v>
      </c>
      <c r="M549" s="36">
        <f t="shared" ref="M549:M580" si="63">K549/E549</f>
        <v>0.01</v>
      </c>
      <c r="N549" s="82">
        <f t="shared" ref="N549:N580" si="64">IF(M549=J549,1,0)</f>
        <v>1</v>
      </c>
      <c r="O549" s="82">
        <f t="shared" si="59"/>
        <v>0</v>
      </c>
    </row>
    <row r="550" spans="3:15" hidden="1" x14ac:dyDescent="0.35">
      <c r="C550" s="82">
        <v>1</v>
      </c>
      <c r="D550" s="36">
        <v>0.5</v>
      </c>
      <c r="E550" s="6">
        <v>100</v>
      </c>
      <c r="F550" s="6">
        <v>102</v>
      </c>
      <c r="G550" s="6">
        <v>102</v>
      </c>
      <c r="H550" s="6">
        <v>4.9000000000000004</v>
      </c>
      <c r="J550" s="36">
        <f t="shared" si="60"/>
        <v>0.02</v>
      </c>
      <c r="K550" s="6">
        <f t="shared" si="61"/>
        <v>2</v>
      </c>
      <c r="L550" s="6">
        <f t="shared" si="62"/>
        <v>3.9000000000000004</v>
      </c>
      <c r="M550" s="36">
        <f t="shared" si="63"/>
        <v>0.02</v>
      </c>
      <c r="N550" s="82">
        <f t="shared" si="64"/>
        <v>1</v>
      </c>
      <c r="O550" s="82">
        <f t="shared" si="59"/>
        <v>0</v>
      </c>
    </row>
    <row r="551" spans="3:15" hidden="1" x14ac:dyDescent="0.35">
      <c r="C551" s="82">
        <v>1</v>
      </c>
      <c r="D551" s="36">
        <v>0.5</v>
      </c>
      <c r="E551" s="6">
        <v>100</v>
      </c>
      <c r="F551" s="6">
        <v>103</v>
      </c>
      <c r="G551" s="6">
        <v>103</v>
      </c>
      <c r="H551" s="6">
        <v>8.8000000000000007</v>
      </c>
      <c r="J551" s="36">
        <f t="shared" si="60"/>
        <v>0.03</v>
      </c>
      <c r="K551" s="6">
        <f t="shared" si="61"/>
        <v>3</v>
      </c>
      <c r="L551" s="6">
        <f t="shared" si="62"/>
        <v>7.8000000000000007</v>
      </c>
      <c r="M551" s="36">
        <f t="shared" si="63"/>
        <v>0.03</v>
      </c>
      <c r="N551" s="82">
        <f t="shared" si="64"/>
        <v>1</v>
      </c>
      <c r="O551" s="82">
        <f t="shared" si="59"/>
        <v>0</v>
      </c>
    </row>
    <row r="552" spans="3:15" hidden="1" x14ac:dyDescent="0.35">
      <c r="C552" s="82">
        <v>1</v>
      </c>
      <c r="D552" s="36">
        <v>0.5</v>
      </c>
      <c r="E552" s="6">
        <v>100</v>
      </c>
      <c r="F552" s="6">
        <v>104</v>
      </c>
      <c r="G552" s="6">
        <v>104</v>
      </c>
      <c r="H552" s="6">
        <v>14.2</v>
      </c>
      <c r="J552" s="36">
        <f t="shared" si="60"/>
        <v>0.04</v>
      </c>
      <c r="K552" s="6">
        <f t="shared" si="61"/>
        <v>4</v>
      </c>
      <c r="L552" s="6">
        <f t="shared" si="62"/>
        <v>13.2</v>
      </c>
      <c r="M552" s="36">
        <f t="shared" si="63"/>
        <v>0.04</v>
      </c>
      <c r="N552" s="82">
        <f t="shared" si="64"/>
        <v>1</v>
      </c>
      <c r="O552" s="82">
        <f t="shared" si="59"/>
        <v>0</v>
      </c>
    </row>
    <row r="553" spans="3:15" hidden="1" x14ac:dyDescent="0.35">
      <c r="C553" s="82">
        <v>1</v>
      </c>
      <c r="D553" s="36">
        <v>0.5</v>
      </c>
      <c r="E553" s="6">
        <v>100</v>
      </c>
      <c r="F553" s="6">
        <v>105</v>
      </c>
      <c r="G553" s="6">
        <v>105</v>
      </c>
      <c r="H553" s="6">
        <v>21.1</v>
      </c>
      <c r="J553" s="36">
        <f t="shared" si="60"/>
        <v>0.05</v>
      </c>
      <c r="K553" s="6">
        <f t="shared" si="61"/>
        <v>5</v>
      </c>
      <c r="L553" s="6">
        <f t="shared" si="62"/>
        <v>20.100000000000001</v>
      </c>
      <c r="M553" s="36">
        <f t="shared" si="63"/>
        <v>0.05</v>
      </c>
      <c r="N553" s="82">
        <f t="shared" si="64"/>
        <v>1</v>
      </c>
      <c r="O553" s="82">
        <f t="shared" si="59"/>
        <v>0</v>
      </c>
    </row>
    <row r="554" spans="3:15" hidden="1" x14ac:dyDescent="0.35">
      <c r="C554" s="82">
        <v>1</v>
      </c>
      <c r="D554" s="36">
        <v>0.5</v>
      </c>
      <c r="E554" s="6">
        <v>100</v>
      </c>
      <c r="F554" s="6">
        <v>110</v>
      </c>
      <c r="G554" s="6">
        <v>110</v>
      </c>
      <c r="H554" s="6">
        <v>76.2</v>
      </c>
      <c r="J554" s="36">
        <f t="shared" si="60"/>
        <v>0.1</v>
      </c>
      <c r="K554" s="6">
        <f t="shared" si="61"/>
        <v>10</v>
      </c>
      <c r="L554" s="6">
        <f t="shared" si="62"/>
        <v>75.2</v>
      </c>
      <c r="M554" s="36">
        <f t="shared" si="63"/>
        <v>0.1</v>
      </c>
      <c r="N554" s="82">
        <f t="shared" si="64"/>
        <v>1</v>
      </c>
      <c r="O554" s="82">
        <f t="shared" si="59"/>
        <v>0</v>
      </c>
    </row>
    <row r="555" spans="3:15" hidden="1" x14ac:dyDescent="0.35">
      <c r="C555" s="82">
        <v>1</v>
      </c>
      <c r="D555" s="36">
        <v>0.5</v>
      </c>
      <c r="E555" s="6">
        <v>100</v>
      </c>
      <c r="F555" s="6">
        <v>115</v>
      </c>
      <c r="G555" s="6">
        <v>115</v>
      </c>
      <c r="H555" s="6">
        <v>157.5</v>
      </c>
      <c r="J555" s="36">
        <f t="shared" si="60"/>
        <v>0.15</v>
      </c>
      <c r="K555" s="6">
        <f t="shared" si="61"/>
        <v>15</v>
      </c>
      <c r="L555" s="6">
        <f t="shared" si="62"/>
        <v>156.5</v>
      </c>
      <c r="M555" s="36">
        <f t="shared" si="63"/>
        <v>0.15</v>
      </c>
      <c r="N555" s="82">
        <f t="shared" si="64"/>
        <v>1</v>
      </c>
      <c r="O555" s="82">
        <f t="shared" si="59"/>
        <v>0</v>
      </c>
    </row>
    <row r="556" spans="3:15" hidden="1" x14ac:dyDescent="0.35">
      <c r="C556" s="82">
        <v>1</v>
      </c>
      <c r="D556" s="36">
        <v>0.5</v>
      </c>
      <c r="E556" s="6">
        <v>100</v>
      </c>
      <c r="F556" s="6">
        <v>120</v>
      </c>
      <c r="G556" s="6">
        <v>120</v>
      </c>
      <c r="H556" s="6">
        <v>258.60000000000002</v>
      </c>
      <c r="J556" s="36">
        <f t="shared" si="60"/>
        <v>0.2</v>
      </c>
      <c r="K556" s="6">
        <f t="shared" si="61"/>
        <v>20</v>
      </c>
      <c r="L556" s="6">
        <f t="shared" si="62"/>
        <v>257.60000000000002</v>
      </c>
      <c r="M556" s="36">
        <f t="shared" si="63"/>
        <v>0.2</v>
      </c>
      <c r="N556" s="82">
        <f t="shared" si="64"/>
        <v>1</v>
      </c>
      <c r="O556" s="82">
        <f t="shared" si="59"/>
        <v>0</v>
      </c>
    </row>
    <row r="557" spans="3:15" hidden="1" x14ac:dyDescent="0.35">
      <c r="C557" s="82">
        <v>7</v>
      </c>
      <c r="D557" s="36">
        <v>0.5</v>
      </c>
      <c r="E557" s="6">
        <v>100</v>
      </c>
      <c r="F557" s="6">
        <v>101</v>
      </c>
      <c r="G557" s="6">
        <v>101</v>
      </c>
      <c r="H557" s="6">
        <v>9.9</v>
      </c>
      <c r="J557" s="36">
        <f t="shared" si="60"/>
        <v>0.01</v>
      </c>
      <c r="K557" s="6">
        <f t="shared" si="61"/>
        <v>1</v>
      </c>
      <c r="L557" s="6">
        <f t="shared" si="62"/>
        <v>2.9000000000000004</v>
      </c>
      <c r="M557" s="36">
        <f t="shared" si="63"/>
        <v>0.01</v>
      </c>
      <c r="N557" s="82">
        <f t="shared" si="64"/>
        <v>1</v>
      </c>
      <c r="O557" s="82">
        <f t="shared" si="59"/>
        <v>0</v>
      </c>
    </row>
    <row r="558" spans="3:15" hidden="1" x14ac:dyDescent="0.35">
      <c r="C558" s="82">
        <v>7</v>
      </c>
      <c r="D558" s="36">
        <v>0.5</v>
      </c>
      <c r="E558" s="6">
        <v>100</v>
      </c>
      <c r="F558" s="6">
        <v>102</v>
      </c>
      <c r="G558" s="6">
        <v>102</v>
      </c>
      <c r="H558" s="6">
        <v>13.5</v>
      </c>
      <c r="J558" s="36">
        <f t="shared" si="60"/>
        <v>0.02</v>
      </c>
      <c r="K558" s="6">
        <f t="shared" si="61"/>
        <v>2</v>
      </c>
      <c r="L558" s="6">
        <f t="shared" si="62"/>
        <v>6.5</v>
      </c>
      <c r="M558" s="36">
        <f t="shared" si="63"/>
        <v>0.02</v>
      </c>
      <c r="N558" s="82">
        <f t="shared" si="64"/>
        <v>1</v>
      </c>
      <c r="O558" s="82">
        <f t="shared" si="59"/>
        <v>0</v>
      </c>
    </row>
    <row r="559" spans="3:15" hidden="1" x14ac:dyDescent="0.35">
      <c r="C559" s="82">
        <v>7</v>
      </c>
      <c r="D559" s="36">
        <v>0.5</v>
      </c>
      <c r="E559" s="6">
        <v>100</v>
      </c>
      <c r="F559" s="6">
        <v>103</v>
      </c>
      <c r="G559" s="6">
        <v>103</v>
      </c>
      <c r="H559" s="6">
        <v>18</v>
      </c>
      <c r="J559" s="36">
        <f t="shared" si="60"/>
        <v>0.03</v>
      </c>
      <c r="K559" s="6">
        <f t="shared" si="61"/>
        <v>3</v>
      </c>
      <c r="L559" s="6">
        <f t="shared" si="62"/>
        <v>11</v>
      </c>
      <c r="M559" s="36">
        <f t="shared" si="63"/>
        <v>0.03</v>
      </c>
      <c r="N559" s="82">
        <f t="shared" si="64"/>
        <v>1</v>
      </c>
      <c r="O559" s="82">
        <f t="shared" si="59"/>
        <v>0</v>
      </c>
    </row>
    <row r="560" spans="3:15" hidden="1" x14ac:dyDescent="0.35">
      <c r="C560" s="82">
        <v>7</v>
      </c>
      <c r="D560" s="36">
        <v>0.5</v>
      </c>
      <c r="E560" s="6">
        <v>100</v>
      </c>
      <c r="F560" s="6">
        <v>104</v>
      </c>
      <c r="G560" s="6">
        <v>104</v>
      </c>
      <c r="H560" s="6">
        <v>23.5</v>
      </c>
      <c r="J560" s="36">
        <f t="shared" si="60"/>
        <v>0.04</v>
      </c>
      <c r="K560" s="6">
        <f t="shared" si="61"/>
        <v>4</v>
      </c>
      <c r="L560" s="6">
        <f t="shared" si="62"/>
        <v>16.5</v>
      </c>
      <c r="M560" s="36">
        <f t="shared" si="63"/>
        <v>0.04</v>
      </c>
      <c r="N560" s="82">
        <f t="shared" si="64"/>
        <v>1</v>
      </c>
      <c r="O560" s="82">
        <f t="shared" si="59"/>
        <v>0</v>
      </c>
    </row>
    <row r="561" spans="3:15" hidden="1" x14ac:dyDescent="0.35">
      <c r="C561" s="82">
        <v>7</v>
      </c>
      <c r="D561" s="36">
        <v>0.5</v>
      </c>
      <c r="E561" s="6">
        <v>100</v>
      </c>
      <c r="F561" s="6">
        <v>105</v>
      </c>
      <c r="G561" s="6">
        <v>105</v>
      </c>
      <c r="H561" s="6">
        <v>30.1</v>
      </c>
      <c r="J561" s="36">
        <f t="shared" si="60"/>
        <v>0.05</v>
      </c>
      <c r="K561" s="6">
        <f t="shared" si="61"/>
        <v>5</v>
      </c>
      <c r="L561" s="6">
        <f t="shared" si="62"/>
        <v>23.1</v>
      </c>
      <c r="M561" s="36">
        <f t="shared" si="63"/>
        <v>0.05</v>
      </c>
      <c r="N561" s="82">
        <f t="shared" si="64"/>
        <v>1</v>
      </c>
      <c r="O561" s="82">
        <f t="shared" si="59"/>
        <v>0</v>
      </c>
    </row>
    <row r="562" spans="3:15" hidden="1" x14ac:dyDescent="0.35">
      <c r="C562" s="82">
        <v>7</v>
      </c>
      <c r="D562" s="36">
        <v>0.5</v>
      </c>
      <c r="E562" s="6">
        <v>100</v>
      </c>
      <c r="F562" s="6">
        <v>110</v>
      </c>
      <c r="G562" s="6">
        <v>110</v>
      </c>
      <c r="H562" s="6">
        <v>80.5</v>
      </c>
      <c r="J562" s="36">
        <f t="shared" si="60"/>
        <v>0.1</v>
      </c>
      <c r="K562" s="6">
        <f t="shared" si="61"/>
        <v>10</v>
      </c>
      <c r="L562" s="6">
        <f t="shared" si="62"/>
        <v>73.5</v>
      </c>
      <c r="M562" s="36">
        <f t="shared" si="63"/>
        <v>0.1</v>
      </c>
      <c r="N562" s="82">
        <f t="shared" si="64"/>
        <v>1</v>
      </c>
      <c r="O562" s="82">
        <f t="shared" si="59"/>
        <v>0</v>
      </c>
    </row>
    <row r="563" spans="3:15" hidden="1" x14ac:dyDescent="0.35">
      <c r="C563" s="82">
        <v>7</v>
      </c>
      <c r="D563" s="36">
        <v>0.5</v>
      </c>
      <c r="E563" s="6">
        <v>100</v>
      </c>
      <c r="F563" s="6">
        <v>115</v>
      </c>
      <c r="G563" s="6">
        <v>115</v>
      </c>
      <c r="H563" s="6">
        <v>158.80000000000001</v>
      </c>
      <c r="J563" s="36">
        <f t="shared" si="60"/>
        <v>0.15</v>
      </c>
      <c r="K563" s="6">
        <f t="shared" si="61"/>
        <v>15</v>
      </c>
      <c r="L563" s="6">
        <f t="shared" si="62"/>
        <v>151.80000000000001</v>
      </c>
      <c r="M563" s="36">
        <f t="shared" si="63"/>
        <v>0.15</v>
      </c>
      <c r="N563" s="82">
        <f t="shared" si="64"/>
        <v>1</v>
      </c>
      <c r="O563" s="82">
        <f t="shared" si="59"/>
        <v>0</v>
      </c>
    </row>
    <row r="564" spans="3:15" hidden="1" x14ac:dyDescent="0.35">
      <c r="C564" s="82">
        <v>7</v>
      </c>
      <c r="D564" s="36">
        <v>0.5</v>
      </c>
      <c r="E564" s="6">
        <v>100</v>
      </c>
      <c r="F564" s="6">
        <v>120</v>
      </c>
      <c r="G564" s="6">
        <v>120</v>
      </c>
      <c r="H564" s="6">
        <v>258.89999999999998</v>
      </c>
      <c r="J564" s="36">
        <f t="shared" si="60"/>
        <v>0.2</v>
      </c>
      <c r="K564" s="6">
        <f t="shared" si="61"/>
        <v>20</v>
      </c>
      <c r="L564" s="6">
        <f t="shared" si="62"/>
        <v>251.89999999999998</v>
      </c>
      <c r="M564" s="36">
        <f t="shared" si="63"/>
        <v>0.2</v>
      </c>
      <c r="N564" s="82">
        <f t="shared" si="64"/>
        <v>1</v>
      </c>
      <c r="O564" s="82">
        <f t="shared" si="59"/>
        <v>0</v>
      </c>
    </row>
    <row r="565" spans="3:15" hidden="1" x14ac:dyDescent="0.35">
      <c r="C565" s="82">
        <v>14</v>
      </c>
      <c r="D565" s="36">
        <v>0.5</v>
      </c>
      <c r="E565" s="6">
        <v>100</v>
      </c>
      <c r="F565" s="6">
        <v>101</v>
      </c>
      <c r="G565" s="6">
        <v>101</v>
      </c>
      <c r="H565" s="6">
        <v>17.8</v>
      </c>
      <c r="J565" s="36">
        <f t="shared" si="60"/>
        <v>0.01</v>
      </c>
      <c r="K565" s="6">
        <f t="shared" si="61"/>
        <v>1</v>
      </c>
      <c r="L565" s="6">
        <f t="shared" si="62"/>
        <v>3.8000000000000007</v>
      </c>
      <c r="M565" s="36">
        <f t="shared" si="63"/>
        <v>0.01</v>
      </c>
      <c r="N565" s="82">
        <f t="shared" si="64"/>
        <v>1</v>
      </c>
      <c r="O565" s="82">
        <f t="shared" si="59"/>
        <v>0</v>
      </c>
    </row>
    <row r="566" spans="3:15" hidden="1" x14ac:dyDescent="0.35">
      <c r="C566" s="82">
        <v>14</v>
      </c>
      <c r="D566" s="36">
        <v>0.5</v>
      </c>
      <c r="E566" s="6">
        <v>100</v>
      </c>
      <c r="F566" s="6">
        <v>102</v>
      </c>
      <c r="G566" s="6">
        <v>102</v>
      </c>
      <c r="H566" s="6">
        <v>22.3</v>
      </c>
      <c r="J566" s="36">
        <f t="shared" si="60"/>
        <v>0.02</v>
      </c>
      <c r="K566" s="6">
        <f t="shared" si="61"/>
        <v>2</v>
      </c>
      <c r="L566" s="6">
        <f t="shared" si="62"/>
        <v>8.3000000000000007</v>
      </c>
      <c r="M566" s="36">
        <f t="shared" si="63"/>
        <v>0.02</v>
      </c>
      <c r="N566" s="82">
        <f t="shared" si="64"/>
        <v>1</v>
      </c>
      <c r="O566" s="82">
        <f t="shared" si="59"/>
        <v>0</v>
      </c>
    </row>
    <row r="567" spans="3:15" hidden="1" x14ac:dyDescent="0.35">
      <c r="C567" s="82">
        <v>14</v>
      </c>
      <c r="D567" s="36">
        <v>0.5</v>
      </c>
      <c r="E567" s="6">
        <v>100</v>
      </c>
      <c r="F567" s="6">
        <v>103</v>
      </c>
      <c r="G567" s="6">
        <v>103</v>
      </c>
      <c r="H567" s="6">
        <v>27.6</v>
      </c>
      <c r="J567" s="36">
        <f t="shared" si="60"/>
        <v>0.03</v>
      </c>
      <c r="K567" s="6">
        <f t="shared" si="61"/>
        <v>3</v>
      </c>
      <c r="L567" s="6">
        <f t="shared" si="62"/>
        <v>13.600000000000001</v>
      </c>
      <c r="M567" s="36">
        <f t="shared" si="63"/>
        <v>0.03</v>
      </c>
      <c r="N567" s="82">
        <f t="shared" si="64"/>
        <v>1</v>
      </c>
      <c r="O567" s="82">
        <f t="shared" si="59"/>
        <v>0</v>
      </c>
    </row>
    <row r="568" spans="3:15" hidden="1" x14ac:dyDescent="0.35">
      <c r="C568" s="82">
        <v>14</v>
      </c>
      <c r="D568" s="36">
        <v>0.5</v>
      </c>
      <c r="E568" s="6">
        <v>100</v>
      </c>
      <c r="F568" s="6">
        <v>104</v>
      </c>
      <c r="G568" s="6">
        <v>104</v>
      </c>
      <c r="H568" s="6">
        <v>33.799999999999997</v>
      </c>
      <c r="J568" s="36">
        <f t="shared" si="60"/>
        <v>0.04</v>
      </c>
      <c r="K568" s="6">
        <f t="shared" si="61"/>
        <v>4</v>
      </c>
      <c r="L568" s="6">
        <f t="shared" si="62"/>
        <v>19.799999999999997</v>
      </c>
      <c r="M568" s="36">
        <f t="shared" si="63"/>
        <v>0.04</v>
      </c>
      <c r="N568" s="82">
        <f t="shared" si="64"/>
        <v>1</v>
      </c>
      <c r="O568" s="82">
        <f t="shared" si="59"/>
        <v>0</v>
      </c>
    </row>
    <row r="569" spans="3:15" hidden="1" x14ac:dyDescent="0.35">
      <c r="C569" s="82">
        <v>14</v>
      </c>
      <c r="D569" s="36">
        <v>0.5</v>
      </c>
      <c r="E569" s="6">
        <v>100</v>
      </c>
      <c r="F569" s="6">
        <v>105</v>
      </c>
      <c r="G569" s="6">
        <v>105</v>
      </c>
      <c r="H569" s="6">
        <v>40.799999999999997</v>
      </c>
      <c r="J569" s="36">
        <f t="shared" si="60"/>
        <v>0.05</v>
      </c>
      <c r="K569" s="6">
        <f t="shared" si="61"/>
        <v>5</v>
      </c>
      <c r="L569" s="6">
        <f t="shared" si="62"/>
        <v>26.799999999999997</v>
      </c>
      <c r="M569" s="36">
        <f t="shared" si="63"/>
        <v>0.05</v>
      </c>
      <c r="N569" s="82">
        <f t="shared" si="64"/>
        <v>1</v>
      </c>
      <c r="O569" s="82">
        <f t="shared" si="59"/>
        <v>0</v>
      </c>
    </row>
    <row r="570" spans="3:15" hidden="1" x14ac:dyDescent="0.35">
      <c r="C570" s="82">
        <v>14</v>
      </c>
      <c r="D570" s="36">
        <v>0.5</v>
      </c>
      <c r="E570" s="6">
        <v>100</v>
      </c>
      <c r="F570" s="6">
        <v>110</v>
      </c>
      <c r="G570" s="6">
        <v>110</v>
      </c>
      <c r="H570" s="6">
        <v>90.6</v>
      </c>
      <c r="J570" s="36">
        <f t="shared" si="60"/>
        <v>0.1</v>
      </c>
      <c r="K570" s="6">
        <f t="shared" si="61"/>
        <v>10</v>
      </c>
      <c r="L570" s="6">
        <f t="shared" si="62"/>
        <v>76.599999999999994</v>
      </c>
      <c r="M570" s="36">
        <f t="shared" si="63"/>
        <v>0.1</v>
      </c>
      <c r="N570" s="82">
        <f t="shared" si="64"/>
        <v>1</v>
      </c>
      <c r="O570" s="82">
        <f t="shared" si="59"/>
        <v>0</v>
      </c>
    </row>
    <row r="571" spans="3:15" hidden="1" x14ac:dyDescent="0.35">
      <c r="C571" s="82">
        <v>14</v>
      </c>
      <c r="D571" s="36">
        <v>0.5</v>
      </c>
      <c r="E571" s="6">
        <v>100</v>
      </c>
      <c r="F571" s="6">
        <v>115</v>
      </c>
      <c r="G571" s="6">
        <v>115</v>
      </c>
      <c r="H571" s="6">
        <v>165.3</v>
      </c>
      <c r="J571" s="36">
        <f t="shared" si="60"/>
        <v>0.15</v>
      </c>
      <c r="K571" s="6">
        <f t="shared" si="61"/>
        <v>15</v>
      </c>
      <c r="L571" s="6">
        <f t="shared" si="62"/>
        <v>151.30000000000001</v>
      </c>
      <c r="M571" s="36">
        <f t="shared" si="63"/>
        <v>0.15</v>
      </c>
      <c r="N571" s="82">
        <f t="shared" si="64"/>
        <v>1</v>
      </c>
      <c r="O571" s="82">
        <f t="shared" si="59"/>
        <v>0</v>
      </c>
    </row>
    <row r="572" spans="3:15" hidden="1" x14ac:dyDescent="0.35">
      <c r="C572" s="82">
        <v>14</v>
      </c>
      <c r="D572" s="36">
        <v>0.5</v>
      </c>
      <c r="E572" s="6">
        <v>100</v>
      </c>
      <c r="F572" s="6">
        <v>120</v>
      </c>
      <c r="G572" s="6">
        <v>120</v>
      </c>
      <c r="H572" s="6">
        <v>262.10000000000002</v>
      </c>
      <c r="J572" s="36">
        <f t="shared" si="60"/>
        <v>0.2</v>
      </c>
      <c r="K572" s="6">
        <f t="shared" si="61"/>
        <v>20</v>
      </c>
      <c r="L572" s="6">
        <f t="shared" si="62"/>
        <v>248.10000000000002</v>
      </c>
      <c r="M572" s="36">
        <f t="shared" si="63"/>
        <v>0.2</v>
      </c>
      <c r="N572" s="82">
        <f t="shared" si="64"/>
        <v>1</v>
      </c>
      <c r="O572" s="82">
        <f t="shared" si="59"/>
        <v>0</v>
      </c>
    </row>
    <row r="573" spans="3:15" hidden="1" x14ac:dyDescent="0.35">
      <c r="C573" s="82">
        <v>21</v>
      </c>
      <c r="D573" s="36">
        <v>0.5</v>
      </c>
      <c r="E573" s="6">
        <v>100</v>
      </c>
      <c r="F573" s="6">
        <v>101</v>
      </c>
      <c r="G573" s="6">
        <v>101</v>
      </c>
      <c r="H573" s="6">
        <v>25.6</v>
      </c>
      <c r="J573" s="36">
        <f t="shared" si="60"/>
        <v>0.01</v>
      </c>
      <c r="K573" s="6">
        <f t="shared" si="61"/>
        <v>1</v>
      </c>
      <c r="L573" s="6">
        <f t="shared" si="62"/>
        <v>4.6000000000000014</v>
      </c>
      <c r="M573" s="36">
        <f t="shared" si="63"/>
        <v>0.01</v>
      </c>
      <c r="N573" s="82">
        <f t="shared" si="64"/>
        <v>1</v>
      </c>
      <c r="O573" s="82">
        <f t="shared" si="59"/>
        <v>0</v>
      </c>
    </row>
    <row r="574" spans="3:15" hidden="1" x14ac:dyDescent="0.35">
      <c r="C574" s="82">
        <v>21</v>
      </c>
      <c r="D574" s="36">
        <v>0.5</v>
      </c>
      <c r="E574" s="6">
        <v>100</v>
      </c>
      <c r="F574" s="6">
        <v>102</v>
      </c>
      <c r="G574" s="6">
        <v>102</v>
      </c>
      <c r="H574" s="6">
        <v>30.7</v>
      </c>
      <c r="J574" s="36">
        <f t="shared" si="60"/>
        <v>0.02</v>
      </c>
      <c r="K574" s="6">
        <f t="shared" si="61"/>
        <v>2</v>
      </c>
      <c r="L574" s="6">
        <f t="shared" si="62"/>
        <v>9.6999999999999993</v>
      </c>
      <c r="M574" s="36">
        <f t="shared" si="63"/>
        <v>0.02</v>
      </c>
      <c r="N574" s="82">
        <f t="shared" si="64"/>
        <v>1</v>
      </c>
      <c r="O574" s="82">
        <f t="shared" si="59"/>
        <v>0</v>
      </c>
    </row>
    <row r="575" spans="3:15" hidden="1" x14ac:dyDescent="0.35">
      <c r="C575" s="82">
        <v>21</v>
      </c>
      <c r="D575" s="36">
        <v>0.5</v>
      </c>
      <c r="E575" s="6">
        <v>100</v>
      </c>
      <c r="F575" s="6">
        <v>103</v>
      </c>
      <c r="G575" s="6">
        <v>103</v>
      </c>
      <c r="H575" s="6">
        <v>36.700000000000003</v>
      </c>
      <c r="J575" s="36">
        <f t="shared" si="60"/>
        <v>0.03</v>
      </c>
      <c r="K575" s="6">
        <f t="shared" si="61"/>
        <v>3</v>
      </c>
      <c r="L575" s="6">
        <f t="shared" si="62"/>
        <v>15.700000000000003</v>
      </c>
      <c r="M575" s="36">
        <f t="shared" si="63"/>
        <v>0.03</v>
      </c>
      <c r="N575" s="82">
        <f t="shared" si="64"/>
        <v>1</v>
      </c>
      <c r="O575" s="82">
        <f t="shared" si="59"/>
        <v>0</v>
      </c>
    </row>
    <row r="576" spans="3:15" hidden="1" x14ac:dyDescent="0.35">
      <c r="C576" s="82">
        <v>21</v>
      </c>
      <c r="D576" s="36">
        <v>0.5</v>
      </c>
      <c r="E576" s="6">
        <v>100</v>
      </c>
      <c r="F576" s="6">
        <v>104</v>
      </c>
      <c r="G576" s="6">
        <v>104</v>
      </c>
      <c r="H576" s="6">
        <v>43.3</v>
      </c>
      <c r="J576" s="36">
        <f t="shared" si="60"/>
        <v>0.04</v>
      </c>
      <c r="K576" s="6">
        <f t="shared" si="61"/>
        <v>4</v>
      </c>
      <c r="L576" s="6">
        <f t="shared" si="62"/>
        <v>22.299999999999997</v>
      </c>
      <c r="M576" s="36">
        <f t="shared" si="63"/>
        <v>0.04</v>
      </c>
      <c r="N576" s="82">
        <f t="shared" si="64"/>
        <v>1</v>
      </c>
      <c r="O576" s="82">
        <f t="shared" si="59"/>
        <v>0</v>
      </c>
    </row>
    <row r="577" spans="3:15" hidden="1" x14ac:dyDescent="0.35">
      <c r="C577" s="82">
        <v>21</v>
      </c>
      <c r="D577" s="36">
        <v>0.5</v>
      </c>
      <c r="E577" s="6">
        <v>100</v>
      </c>
      <c r="F577" s="6">
        <v>105</v>
      </c>
      <c r="G577" s="6">
        <v>105</v>
      </c>
      <c r="H577" s="6">
        <v>50.8</v>
      </c>
      <c r="J577" s="36">
        <f t="shared" si="60"/>
        <v>0.05</v>
      </c>
      <c r="K577" s="6">
        <f t="shared" si="61"/>
        <v>5</v>
      </c>
      <c r="L577" s="6">
        <f t="shared" si="62"/>
        <v>29.799999999999997</v>
      </c>
      <c r="M577" s="36">
        <f t="shared" si="63"/>
        <v>0.05</v>
      </c>
      <c r="N577" s="82">
        <f t="shared" si="64"/>
        <v>1</v>
      </c>
      <c r="O577" s="82">
        <f t="shared" si="59"/>
        <v>0</v>
      </c>
    </row>
    <row r="578" spans="3:15" hidden="1" x14ac:dyDescent="0.35">
      <c r="C578" s="82">
        <v>21</v>
      </c>
      <c r="D578" s="36">
        <v>0.5</v>
      </c>
      <c r="E578" s="6">
        <v>100</v>
      </c>
      <c r="F578" s="6">
        <v>110</v>
      </c>
      <c r="G578" s="6">
        <v>110</v>
      </c>
      <c r="H578" s="6">
        <v>101.3</v>
      </c>
      <c r="J578" s="36">
        <f t="shared" si="60"/>
        <v>0.1</v>
      </c>
      <c r="K578" s="6">
        <f t="shared" si="61"/>
        <v>10</v>
      </c>
      <c r="L578" s="6">
        <f t="shared" si="62"/>
        <v>80.3</v>
      </c>
      <c r="M578" s="36">
        <f t="shared" si="63"/>
        <v>0.1</v>
      </c>
      <c r="N578" s="82">
        <f t="shared" si="64"/>
        <v>1</v>
      </c>
      <c r="O578" s="82">
        <f t="shared" si="59"/>
        <v>0</v>
      </c>
    </row>
    <row r="579" spans="3:15" hidden="1" x14ac:dyDescent="0.35">
      <c r="C579" s="82">
        <v>21</v>
      </c>
      <c r="D579" s="36">
        <v>0.5</v>
      </c>
      <c r="E579" s="6">
        <v>100</v>
      </c>
      <c r="F579" s="6">
        <v>115</v>
      </c>
      <c r="G579" s="6">
        <v>115</v>
      </c>
      <c r="H579" s="6">
        <v>174.4</v>
      </c>
      <c r="J579" s="36">
        <f t="shared" si="60"/>
        <v>0.15</v>
      </c>
      <c r="K579" s="6">
        <f t="shared" si="61"/>
        <v>15</v>
      </c>
      <c r="L579" s="6">
        <f t="shared" si="62"/>
        <v>153.4</v>
      </c>
      <c r="M579" s="36">
        <f t="shared" si="63"/>
        <v>0.15</v>
      </c>
      <c r="N579" s="82">
        <f t="shared" si="64"/>
        <v>1</v>
      </c>
      <c r="O579" s="82">
        <f t="shared" si="59"/>
        <v>0</v>
      </c>
    </row>
    <row r="580" spans="3:15" hidden="1" x14ac:dyDescent="0.35">
      <c r="C580" s="82">
        <v>21</v>
      </c>
      <c r="D580" s="36">
        <v>0.5</v>
      </c>
      <c r="E580" s="6">
        <v>100</v>
      </c>
      <c r="F580" s="6">
        <v>120</v>
      </c>
      <c r="G580" s="6">
        <v>120</v>
      </c>
      <c r="H580" s="6">
        <v>268.39999999999998</v>
      </c>
      <c r="J580" s="36">
        <f t="shared" si="60"/>
        <v>0.2</v>
      </c>
      <c r="K580" s="6">
        <f t="shared" si="61"/>
        <v>20</v>
      </c>
      <c r="L580" s="6">
        <f t="shared" si="62"/>
        <v>247.39999999999998</v>
      </c>
      <c r="M580" s="36">
        <f t="shared" si="63"/>
        <v>0.2</v>
      </c>
      <c r="N580" s="82">
        <f t="shared" si="64"/>
        <v>1</v>
      </c>
      <c r="O580" s="82">
        <f t="shared" si="59"/>
        <v>0</v>
      </c>
    </row>
    <row r="581" spans="3:15" hidden="1" x14ac:dyDescent="0.35">
      <c r="C581" s="82">
        <v>7</v>
      </c>
      <c r="D581" s="36">
        <v>0.15</v>
      </c>
      <c r="E581" s="6">
        <v>100</v>
      </c>
      <c r="F581" s="6">
        <v>101</v>
      </c>
      <c r="G581" s="6">
        <f>F581+1</f>
        <v>102</v>
      </c>
      <c r="H581" s="6">
        <v>35.200000000000003</v>
      </c>
      <c r="J581" s="36">
        <f t="shared" ref="J581:J640" si="65">(F581-E581)/E581</f>
        <v>0.01</v>
      </c>
      <c r="K581" s="6">
        <f t="shared" ref="K581:K640" si="66">G581-E581</f>
        <v>2</v>
      </c>
      <c r="L581" s="6">
        <f t="shared" ref="L581:L640" si="67">H581-C581</f>
        <v>28.200000000000003</v>
      </c>
      <c r="M581" s="36">
        <f t="shared" ref="M581:M640" si="68">K581/E581</f>
        <v>0.02</v>
      </c>
      <c r="N581" s="82">
        <f t="shared" ref="N581:N640" si="69">IF(M581=J581,1,0)</f>
        <v>0</v>
      </c>
      <c r="O581" s="82">
        <f t="shared" si="59"/>
        <v>1</v>
      </c>
    </row>
    <row r="582" spans="3:15" hidden="1" x14ac:dyDescent="0.35">
      <c r="C582" s="82">
        <v>7</v>
      </c>
      <c r="D582" s="36">
        <v>0.15</v>
      </c>
      <c r="E582" s="6">
        <v>100</v>
      </c>
      <c r="F582" s="6">
        <v>102</v>
      </c>
      <c r="G582" s="6">
        <f t="shared" ref="G582:G588" si="70">F582+1</f>
        <v>103</v>
      </c>
      <c r="H582" s="6">
        <v>68.8</v>
      </c>
      <c r="J582" s="36">
        <f t="shared" si="65"/>
        <v>0.02</v>
      </c>
      <c r="K582" s="6">
        <f t="shared" si="66"/>
        <v>3</v>
      </c>
      <c r="L582" s="6">
        <f t="shared" si="67"/>
        <v>61.8</v>
      </c>
      <c r="M582" s="36">
        <f t="shared" si="68"/>
        <v>0.03</v>
      </c>
      <c r="N582" s="82">
        <f t="shared" si="69"/>
        <v>0</v>
      </c>
      <c r="O582" s="82">
        <f t="shared" si="59"/>
        <v>0</v>
      </c>
    </row>
    <row r="583" spans="3:15" hidden="1" x14ac:dyDescent="0.35">
      <c r="C583" s="82">
        <v>7</v>
      </c>
      <c r="D583" s="36">
        <v>0.15</v>
      </c>
      <c r="E583" s="6">
        <v>100</v>
      </c>
      <c r="F583" s="6">
        <v>103</v>
      </c>
      <c r="G583" s="6">
        <f t="shared" si="70"/>
        <v>104</v>
      </c>
      <c r="H583" s="6">
        <v>120.1</v>
      </c>
      <c r="J583" s="36">
        <f t="shared" si="65"/>
        <v>0.03</v>
      </c>
      <c r="K583" s="6">
        <f t="shared" si="66"/>
        <v>4</v>
      </c>
      <c r="L583" s="6">
        <f t="shared" si="67"/>
        <v>113.1</v>
      </c>
      <c r="M583" s="36">
        <f t="shared" si="68"/>
        <v>0.04</v>
      </c>
      <c r="N583" s="82">
        <f t="shared" si="69"/>
        <v>0</v>
      </c>
      <c r="O583" s="82">
        <f t="shared" si="59"/>
        <v>0</v>
      </c>
    </row>
    <row r="584" spans="3:15" hidden="1" x14ac:dyDescent="0.35">
      <c r="C584" s="82">
        <v>7</v>
      </c>
      <c r="D584" s="36">
        <v>0.15</v>
      </c>
      <c r="E584" s="6">
        <v>100</v>
      </c>
      <c r="F584" s="6">
        <v>104</v>
      </c>
      <c r="G584" s="6">
        <f t="shared" si="70"/>
        <v>105</v>
      </c>
      <c r="H584" s="6">
        <v>189.8</v>
      </c>
      <c r="J584" s="36">
        <f t="shared" si="65"/>
        <v>0.04</v>
      </c>
      <c r="K584" s="6">
        <f t="shared" si="66"/>
        <v>5</v>
      </c>
      <c r="L584" s="6">
        <f t="shared" si="67"/>
        <v>182.8</v>
      </c>
      <c r="M584" s="36">
        <f t="shared" si="68"/>
        <v>0.05</v>
      </c>
      <c r="N584" s="82">
        <f t="shared" si="69"/>
        <v>0</v>
      </c>
      <c r="O584" s="82">
        <f t="shared" si="59"/>
        <v>0</v>
      </c>
    </row>
    <row r="585" spans="3:15" hidden="1" x14ac:dyDescent="0.35">
      <c r="C585" s="82">
        <v>7</v>
      </c>
      <c r="D585" s="36">
        <v>0.15</v>
      </c>
      <c r="E585" s="6">
        <v>100</v>
      </c>
      <c r="F585" s="6">
        <v>105</v>
      </c>
      <c r="G585" s="6">
        <f t="shared" si="70"/>
        <v>106</v>
      </c>
      <c r="H585" s="6">
        <v>276.7</v>
      </c>
      <c r="J585" s="36">
        <f t="shared" si="65"/>
        <v>0.05</v>
      </c>
      <c r="K585" s="6">
        <f t="shared" si="66"/>
        <v>6</v>
      </c>
      <c r="L585" s="6">
        <f t="shared" si="67"/>
        <v>269.7</v>
      </c>
      <c r="M585" s="36">
        <f t="shared" si="68"/>
        <v>0.06</v>
      </c>
      <c r="N585" s="82">
        <f t="shared" si="69"/>
        <v>0</v>
      </c>
      <c r="O585" s="82">
        <f t="shared" si="59"/>
        <v>0</v>
      </c>
    </row>
    <row r="586" spans="3:15" hidden="1" x14ac:dyDescent="0.35">
      <c r="C586" s="82">
        <v>7</v>
      </c>
      <c r="D586" s="36">
        <v>0.15</v>
      </c>
      <c r="E586" s="6">
        <v>100</v>
      </c>
      <c r="F586" s="6">
        <v>110</v>
      </c>
      <c r="G586" s="6">
        <f t="shared" si="70"/>
        <v>111</v>
      </c>
      <c r="H586" s="6">
        <v>923.4</v>
      </c>
      <c r="J586" s="36">
        <f t="shared" si="65"/>
        <v>0.1</v>
      </c>
      <c r="K586" s="6">
        <f t="shared" si="66"/>
        <v>11</v>
      </c>
      <c r="L586" s="6">
        <f t="shared" si="67"/>
        <v>916.4</v>
      </c>
      <c r="M586" s="36">
        <f t="shared" si="68"/>
        <v>0.11</v>
      </c>
      <c r="N586" s="82">
        <f t="shared" si="69"/>
        <v>0</v>
      </c>
      <c r="O586" s="82">
        <f t="shared" si="59"/>
        <v>0</v>
      </c>
    </row>
    <row r="587" spans="3:15" hidden="1" x14ac:dyDescent="0.35">
      <c r="C587" s="82">
        <v>7</v>
      </c>
      <c r="D587" s="36">
        <v>0.15</v>
      </c>
      <c r="E587" s="6">
        <v>100</v>
      </c>
      <c r="F587" s="6">
        <v>115</v>
      </c>
      <c r="G587" s="6">
        <f t="shared" si="70"/>
        <v>116</v>
      </c>
      <c r="H587" s="6">
        <v>1852</v>
      </c>
      <c r="J587" s="36">
        <f t="shared" si="65"/>
        <v>0.15</v>
      </c>
      <c r="K587" s="6">
        <f t="shared" si="66"/>
        <v>16</v>
      </c>
      <c r="L587" s="6">
        <f t="shared" si="67"/>
        <v>1845</v>
      </c>
      <c r="M587" s="36">
        <f t="shared" si="68"/>
        <v>0.16</v>
      </c>
      <c r="N587" s="82">
        <f t="shared" si="69"/>
        <v>0</v>
      </c>
      <c r="O587" s="82">
        <f t="shared" si="59"/>
        <v>0</v>
      </c>
    </row>
    <row r="588" spans="3:15" hidden="1" x14ac:dyDescent="0.35">
      <c r="C588" s="82">
        <v>7</v>
      </c>
      <c r="D588" s="36">
        <v>0.15</v>
      </c>
      <c r="E588" s="6">
        <v>100</v>
      </c>
      <c r="F588" s="6">
        <v>120</v>
      </c>
      <c r="G588" s="6">
        <f t="shared" si="70"/>
        <v>121</v>
      </c>
      <c r="H588" s="6">
        <v>2994.6</v>
      </c>
      <c r="J588" s="36">
        <f t="shared" si="65"/>
        <v>0.2</v>
      </c>
      <c r="K588" s="6">
        <f t="shared" si="66"/>
        <v>21</v>
      </c>
      <c r="L588" s="6">
        <f t="shared" si="67"/>
        <v>2987.6</v>
      </c>
      <c r="M588" s="36">
        <f t="shared" si="68"/>
        <v>0.21</v>
      </c>
      <c r="N588" s="82">
        <f t="shared" si="69"/>
        <v>0</v>
      </c>
      <c r="O588" s="82">
        <f t="shared" si="59"/>
        <v>0</v>
      </c>
    </row>
    <row r="589" spans="3:15" hidden="1" x14ac:dyDescent="0.35">
      <c r="C589" s="82">
        <v>7</v>
      </c>
      <c r="D589" s="36">
        <v>0.4</v>
      </c>
      <c r="E589" s="6">
        <v>100</v>
      </c>
      <c r="F589" s="6">
        <v>101</v>
      </c>
      <c r="G589" s="6">
        <f>F589+1</f>
        <v>102</v>
      </c>
      <c r="H589" s="6">
        <v>14.6</v>
      </c>
      <c r="J589" s="36">
        <f t="shared" si="65"/>
        <v>0.01</v>
      </c>
      <c r="K589" s="6">
        <f t="shared" si="66"/>
        <v>2</v>
      </c>
      <c r="L589" s="6">
        <f t="shared" si="67"/>
        <v>7.6</v>
      </c>
      <c r="M589" s="36">
        <f t="shared" si="68"/>
        <v>0.02</v>
      </c>
      <c r="N589" s="82">
        <f t="shared" si="69"/>
        <v>0</v>
      </c>
      <c r="O589" s="82">
        <f t="shared" si="59"/>
        <v>1</v>
      </c>
    </row>
    <row r="590" spans="3:15" hidden="1" x14ac:dyDescent="0.35">
      <c r="C590" s="82">
        <v>7</v>
      </c>
      <c r="D590" s="36">
        <v>0.4</v>
      </c>
      <c r="E590" s="6">
        <v>100</v>
      </c>
      <c r="F590" s="6">
        <v>102</v>
      </c>
      <c r="G590" s="6">
        <f t="shared" ref="G590:G596" si="71">F590+1</f>
        <v>103</v>
      </c>
      <c r="H590" s="6">
        <v>20.3</v>
      </c>
      <c r="J590" s="36">
        <f t="shared" si="65"/>
        <v>0.02</v>
      </c>
      <c r="K590" s="6">
        <f t="shared" si="66"/>
        <v>3</v>
      </c>
      <c r="L590" s="6">
        <f t="shared" si="67"/>
        <v>13.3</v>
      </c>
      <c r="M590" s="36">
        <f t="shared" si="68"/>
        <v>0.03</v>
      </c>
      <c r="N590" s="82">
        <f t="shared" si="69"/>
        <v>0</v>
      </c>
      <c r="O590" s="82">
        <f t="shared" si="59"/>
        <v>0</v>
      </c>
    </row>
    <row r="591" spans="3:15" hidden="1" x14ac:dyDescent="0.35">
      <c r="C591" s="82">
        <v>7</v>
      </c>
      <c r="D591" s="36">
        <v>0.4</v>
      </c>
      <c r="E591" s="6">
        <v>100</v>
      </c>
      <c r="F591" s="6">
        <v>103</v>
      </c>
      <c r="G591" s="6">
        <f t="shared" si="71"/>
        <v>104</v>
      </c>
      <c r="H591" s="6">
        <v>27.6</v>
      </c>
      <c r="J591" s="36">
        <f t="shared" si="65"/>
        <v>0.03</v>
      </c>
      <c r="K591" s="6">
        <f t="shared" si="66"/>
        <v>4</v>
      </c>
      <c r="L591" s="6">
        <f t="shared" si="67"/>
        <v>20.6</v>
      </c>
      <c r="M591" s="36">
        <f t="shared" si="68"/>
        <v>0.04</v>
      </c>
      <c r="N591" s="82">
        <f t="shared" si="69"/>
        <v>0</v>
      </c>
      <c r="O591" s="82">
        <f t="shared" si="59"/>
        <v>0</v>
      </c>
    </row>
    <row r="592" spans="3:15" hidden="1" x14ac:dyDescent="0.35">
      <c r="C592" s="82">
        <v>7</v>
      </c>
      <c r="D592" s="36">
        <v>0.4</v>
      </c>
      <c r="E592" s="6">
        <v>100</v>
      </c>
      <c r="F592" s="6">
        <v>104</v>
      </c>
      <c r="G592" s="6">
        <f t="shared" si="71"/>
        <v>105</v>
      </c>
      <c r="H592" s="6">
        <v>36.700000000000003</v>
      </c>
      <c r="J592" s="36">
        <f t="shared" si="65"/>
        <v>0.04</v>
      </c>
      <c r="K592" s="6">
        <f t="shared" si="66"/>
        <v>5</v>
      </c>
      <c r="L592" s="6">
        <f t="shared" si="67"/>
        <v>29.700000000000003</v>
      </c>
      <c r="M592" s="36">
        <f t="shared" si="68"/>
        <v>0.05</v>
      </c>
      <c r="N592" s="82">
        <f t="shared" si="69"/>
        <v>0</v>
      </c>
      <c r="O592" s="82">
        <f t="shared" si="59"/>
        <v>0</v>
      </c>
    </row>
    <row r="593" spans="3:15" hidden="1" x14ac:dyDescent="0.35">
      <c r="C593" s="82">
        <v>7</v>
      </c>
      <c r="D593" s="36">
        <v>0.4</v>
      </c>
      <c r="E593" s="6">
        <v>100</v>
      </c>
      <c r="F593" s="6">
        <v>105</v>
      </c>
      <c r="G593" s="6">
        <f t="shared" si="71"/>
        <v>106</v>
      </c>
      <c r="H593" s="6">
        <v>47.7</v>
      </c>
      <c r="J593" s="36">
        <f t="shared" si="65"/>
        <v>0.05</v>
      </c>
      <c r="K593" s="6">
        <f t="shared" si="66"/>
        <v>6</v>
      </c>
      <c r="L593" s="6">
        <f t="shared" si="67"/>
        <v>40.700000000000003</v>
      </c>
      <c r="M593" s="36">
        <f t="shared" si="68"/>
        <v>0.06</v>
      </c>
      <c r="N593" s="82">
        <f t="shared" si="69"/>
        <v>0</v>
      </c>
      <c r="O593" s="82">
        <f t="shared" si="59"/>
        <v>0</v>
      </c>
    </row>
    <row r="594" spans="3:15" hidden="1" x14ac:dyDescent="0.35">
      <c r="C594" s="82">
        <v>7</v>
      </c>
      <c r="D594" s="36">
        <v>0.4</v>
      </c>
      <c r="E594" s="6">
        <v>100</v>
      </c>
      <c r="F594" s="6">
        <v>110</v>
      </c>
      <c r="G594" s="6">
        <f t="shared" si="71"/>
        <v>111</v>
      </c>
      <c r="H594" s="6">
        <v>132.4</v>
      </c>
      <c r="J594" s="36">
        <f t="shared" si="65"/>
        <v>0.1</v>
      </c>
      <c r="K594" s="6">
        <f t="shared" si="66"/>
        <v>11</v>
      </c>
      <c r="L594" s="6">
        <f t="shared" si="67"/>
        <v>125.4</v>
      </c>
      <c r="M594" s="36">
        <f t="shared" si="68"/>
        <v>0.11</v>
      </c>
      <c r="N594" s="82">
        <f t="shared" si="69"/>
        <v>0</v>
      </c>
      <c r="O594" s="82">
        <f t="shared" ref="O594:O640" si="72">IF(J594=0,0,IF(M594/J594=2,1,0))</f>
        <v>0</v>
      </c>
    </row>
    <row r="595" spans="3:15" hidden="1" x14ac:dyDescent="0.35">
      <c r="C595" s="82">
        <v>7</v>
      </c>
      <c r="D595" s="36">
        <v>0.4</v>
      </c>
      <c r="E595" s="6">
        <v>100</v>
      </c>
      <c r="F595" s="6">
        <v>115</v>
      </c>
      <c r="G595" s="6">
        <f t="shared" si="71"/>
        <v>116</v>
      </c>
      <c r="H595" s="6">
        <v>260.89999999999998</v>
      </c>
      <c r="J595" s="36">
        <f t="shared" si="65"/>
        <v>0.15</v>
      </c>
      <c r="K595" s="6">
        <f t="shared" si="66"/>
        <v>16</v>
      </c>
      <c r="L595" s="6">
        <f t="shared" si="67"/>
        <v>253.89999999999998</v>
      </c>
      <c r="M595" s="36">
        <f t="shared" si="68"/>
        <v>0.16</v>
      </c>
      <c r="N595" s="82">
        <f t="shared" si="69"/>
        <v>0</v>
      </c>
      <c r="O595" s="82">
        <f t="shared" si="72"/>
        <v>0</v>
      </c>
    </row>
    <row r="596" spans="3:15" hidden="1" x14ac:dyDescent="0.35">
      <c r="C596" s="82">
        <v>7</v>
      </c>
      <c r="D596" s="36">
        <v>0.4</v>
      </c>
      <c r="E596" s="6">
        <v>100</v>
      </c>
      <c r="F596" s="6">
        <v>120</v>
      </c>
      <c r="G596" s="6">
        <f t="shared" si="71"/>
        <v>121</v>
      </c>
      <c r="H596" s="6">
        <v>421.2</v>
      </c>
      <c r="J596" s="36">
        <f t="shared" si="65"/>
        <v>0.2</v>
      </c>
      <c r="K596" s="6">
        <f t="shared" si="66"/>
        <v>21</v>
      </c>
      <c r="L596" s="6">
        <f t="shared" si="67"/>
        <v>414.2</v>
      </c>
      <c r="M596" s="36">
        <f t="shared" si="68"/>
        <v>0.21</v>
      </c>
      <c r="N596" s="82">
        <f t="shared" si="69"/>
        <v>0</v>
      </c>
      <c r="O596" s="82">
        <f t="shared" si="72"/>
        <v>0</v>
      </c>
    </row>
    <row r="597" spans="3:15" hidden="1" x14ac:dyDescent="0.35">
      <c r="C597" s="82">
        <v>7</v>
      </c>
      <c r="D597" s="36">
        <v>0.5</v>
      </c>
      <c r="E597" s="6">
        <v>100</v>
      </c>
      <c r="F597" s="6">
        <v>101</v>
      </c>
      <c r="G597" s="6">
        <f>F597+1</f>
        <v>102</v>
      </c>
      <c r="H597" s="6">
        <v>12.8</v>
      </c>
      <c r="J597" s="36">
        <f t="shared" si="65"/>
        <v>0.01</v>
      </c>
      <c r="K597" s="6">
        <f t="shared" si="66"/>
        <v>2</v>
      </c>
      <c r="L597" s="6">
        <f t="shared" si="67"/>
        <v>5.8000000000000007</v>
      </c>
      <c r="M597" s="36">
        <f t="shared" si="68"/>
        <v>0.02</v>
      </c>
      <c r="N597" s="82">
        <f t="shared" si="69"/>
        <v>0</v>
      </c>
      <c r="O597" s="82">
        <f t="shared" si="72"/>
        <v>1</v>
      </c>
    </row>
    <row r="598" spans="3:15" hidden="1" x14ac:dyDescent="0.35">
      <c r="C598" s="82">
        <v>7</v>
      </c>
      <c r="D598" s="36">
        <v>0.5</v>
      </c>
      <c r="E598" s="6">
        <v>100</v>
      </c>
      <c r="F598" s="6">
        <v>102</v>
      </c>
      <c r="G598" s="6">
        <f t="shared" ref="G598:G604" si="73">F598+1</f>
        <v>103</v>
      </c>
      <c r="H598" s="6">
        <v>16.899999999999999</v>
      </c>
      <c r="J598" s="36">
        <f t="shared" si="65"/>
        <v>0.02</v>
      </c>
      <c r="K598" s="6">
        <f t="shared" si="66"/>
        <v>3</v>
      </c>
      <c r="L598" s="6">
        <f t="shared" si="67"/>
        <v>9.8999999999999986</v>
      </c>
      <c r="M598" s="36">
        <f t="shared" si="68"/>
        <v>0.03</v>
      </c>
      <c r="N598" s="82">
        <f t="shared" si="69"/>
        <v>0</v>
      </c>
      <c r="O598" s="82">
        <f t="shared" si="72"/>
        <v>0</v>
      </c>
    </row>
    <row r="599" spans="3:15" hidden="1" x14ac:dyDescent="0.35">
      <c r="C599" s="82">
        <v>7</v>
      </c>
      <c r="D599" s="36">
        <v>0.5</v>
      </c>
      <c r="E599" s="6">
        <v>100</v>
      </c>
      <c r="F599" s="6">
        <v>103</v>
      </c>
      <c r="G599" s="6">
        <f t="shared" si="73"/>
        <v>104</v>
      </c>
      <c r="H599" s="6">
        <v>21.8</v>
      </c>
      <c r="J599" s="36">
        <f t="shared" si="65"/>
        <v>0.03</v>
      </c>
      <c r="K599" s="6">
        <f t="shared" si="66"/>
        <v>4</v>
      </c>
      <c r="L599" s="6">
        <f t="shared" si="67"/>
        <v>14.8</v>
      </c>
      <c r="M599" s="36">
        <f t="shared" si="68"/>
        <v>0.04</v>
      </c>
      <c r="N599" s="82">
        <f t="shared" si="69"/>
        <v>0</v>
      </c>
      <c r="O599" s="82">
        <f t="shared" si="72"/>
        <v>0</v>
      </c>
    </row>
    <row r="600" spans="3:15" hidden="1" x14ac:dyDescent="0.35">
      <c r="C600" s="82">
        <v>7</v>
      </c>
      <c r="D600" s="36">
        <v>0.5</v>
      </c>
      <c r="E600" s="6">
        <v>100</v>
      </c>
      <c r="F600" s="6">
        <v>104</v>
      </c>
      <c r="G600" s="6">
        <f t="shared" si="73"/>
        <v>105</v>
      </c>
      <c r="H600" s="6">
        <v>27.8</v>
      </c>
      <c r="J600" s="36">
        <f t="shared" si="65"/>
        <v>0.04</v>
      </c>
      <c r="K600" s="6">
        <f t="shared" si="66"/>
        <v>5</v>
      </c>
      <c r="L600" s="6">
        <f t="shared" si="67"/>
        <v>20.8</v>
      </c>
      <c r="M600" s="36">
        <f t="shared" si="68"/>
        <v>0.05</v>
      </c>
      <c r="N600" s="82">
        <f t="shared" si="69"/>
        <v>0</v>
      </c>
      <c r="O600" s="82">
        <f t="shared" si="72"/>
        <v>0</v>
      </c>
    </row>
    <row r="601" spans="3:15" hidden="1" x14ac:dyDescent="0.35">
      <c r="C601" s="82">
        <v>7</v>
      </c>
      <c r="D601" s="36">
        <v>0.5</v>
      </c>
      <c r="E601" s="6">
        <v>100</v>
      </c>
      <c r="F601" s="6">
        <v>105</v>
      </c>
      <c r="G601" s="6">
        <f t="shared" si="73"/>
        <v>106</v>
      </c>
      <c r="H601" s="6">
        <v>34.9</v>
      </c>
      <c r="J601" s="36">
        <f t="shared" si="65"/>
        <v>0.05</v>
      </c>
      <c r="K601" s="6">
        <f t="shared" si="66"/>
        <v>6</v>
      </c>
      <c r="L601" s="6">
        <f t="shared" si="67"/>
        <v>27.9</v>
      </c>
      <c r="M601" s="36">
        <f t="shared" si="68"/>
        <v>0.06</v>
      </c>
      <c r="N601" s="82">
        <f t="shared" si="69"/>
        <v>0</v>
      </c>
      <c r="O601" s="82">
        <f t="shared" si="72"/>
        <v>0</v>
      </c>
    </row>
    <row r="602" spans="3:15" hidden="1" x14ac:dyDescent="0.35">
      <c r="C602" s="82">
        <v>7</v>
      </c>
      <c r="D602" s="36">
        <v>0.5</v>
      </c>
      <c r="E602" s="6">
        <v>100</v>
      </c>
      <c r="F602" s="6">
        <v>110</v>
      </c>
      <c r="G602" s="6">
        <f t="shared" si="73"/>
        <v>111</v>
      </c>
      <c r="H602" s="6">
        <v>87.7</v>
      </c>
      <c r="J602" s="36">
        <f t="shared" si="65"/>
        <v>0.1</v>
      </c>
      <c r="K602" s="6">
        <f t="shared" si="66"/>
        <v>11</v>
      </c>
      <c r="L602" s="6">
        <f t="shared" si="67"/>
        <v>80.7</v>
      </c>
      <c r="M602" s="36">
        <f t="shared" si="68"/>
        <v>0.11</v>
      </c>
      <c r="N602" s="82">
        <f t="shared" si="69"/>
        <v>0</v>
      </c>
      <c r="O602" s="82">
        <f t="shared" si="72"/>
        <v>0</v>
      </c>
    </row>
    <row r="603" spans="3:15" hidden="1" x14ac:dyDescent="0.35">
      <c r="C603" s="82">
        <v>7</v>
      </c>
      <c r="D603" s="36">
        <v>0.5</v>
      </c>
      <c r="E603" s="6">
        <v>100</v>
      </c>
      <c r="F603" s="6">
        <v>115</v>
      </c>
      <c r="G603" s="6">
        <f t="shared" si="73"/>
        <v>116</v>
      </c>
      <c r="H603" s="6">
        <v>168</v>
      </c>
      <c r="J603" s="36">
        <f t="shared" si="65"/>
        <v>0.15</v>
      </c>
      <c r="K603" s="6">
        <f t="shared" si="66"/>
        <v>16</v>
      </c>
      <c r="L603" s="6">
        <f t="shared" si="67"/>
        <v>161</v>
      </c>
      <c r="M603" s="36">
        <f t="shared" si="68"/>
        <v>0.16</v>
      </c>
      <c r="N603" s="82">
        <f t="shared" si="69"/>
        <v>0</v>
      </c>
      <c r="O603" s="82">
        <f t="shared" si="72"/>
        <v>0</v>
      </c>
    </row>
    <row r="604" spans="3:15" hidden="1" x14ac:dyDescent="0.35">
      <c r="C604" s="82">
        <v>7</v>
      </c>
      <c r="D604" s="36">
        <v>0.5</v>
      </c>
      <c r="E604" s="6">
        <v>100</v>
      </c>
      <c r="F604" s="6">
        <v>120</v>
      </c>
      <c r="G604" s="6">
        <f t="shared" si="73"/>
        <v>121</v>
      </c>
      <c r="H604" s="6">
        <v>269.8</v>
      </c>
      <c r="J604" s="36">
        <f t="shared" si="65"/>
        <v>0.2</v>
      </c>
      <c r="K604" s="6">
        <f t="shared" si="66"/>
        <v>21</v>
      </c>
      <c r="L604" s="6">
        <f t="shared" si="67"/>
        <v>262.8</v>
      </c>
      <c r="M604" s="36">
        <f t="shared" si="68"/>
        <v>0.21</v>
      </c>
      <c r="N604" s="82">
        <f t="shared" si="69"/>
        <v>0</v>
      </c>
      <c r="O604" s="82">
        <f t="shared" si="72"/>
        <v>0</v>
      </c>
    </row>
    <row r="605" spans="3:15" hidden="1" x14ac:dyDescent="0.35">
      <c r="C605" s="82">
        <v>7</v>
      </c>
      <c r="D605" s="36">
        <v>0.15</v>
      </c>
      <c r="E605" s="6">
        <v>100</v>
      </c>
      <c r="F605" s="6">
        <v>102</v>
      </c>
      <c r="G605" s="6">
        <v>104</v>
      </c>
      <c r="H605" s="6">
        <v>91.7</v>
      </c>
      <c r="J605" s="36">
        <f t="shared" si="65"/>
        <v>0.02</v>
      </c>
      <c r="K605" s="6">
        <f t="shared" si="66"/>
        <v>4</v>
      </c>
      <c r="L605" s="6">
        <f t="shared" si="67"/>
        <v>84.7</v>
      </c>
      <c r="M605" s="36">
        <f t="shared" si="68"/>
        <v>0.04</v>
      </c>
      <c r="N605" s="82">
        <f t="shared" si="69"/>
        <v>0</v>
      </c>
      <c r="O605" s="82">
        <f t="shared" si="72"/>
        <v>1</v>
      </c>
    </row>
    <row r="606" spans="3:15" hidden="1" x14ac:dyDescent="0.35">
      <c r="C606" s="82">
        <v>7</v>
      </c>
      <c r="D606" s="36">
        <v>0.15</v>
      </c>
      <c r="E606" s="6">
        <v>100</v>
      </c>
      <c r="F606" s="6">
        <v>103</v>
      </c>
      <c r="G606" s="6">
        <v>106</v>
      </c>
      <c r="H606" s="6">
        <v>181.9</v>
      </c>
      <c r="J606" s="36">
        <f t="shared" si="65"/>
        <v>0.03</v>
      </c>
      <c r="K606" s="6">
        <f t="shared" si="66"/>
        <v>6</v>
      </c>
      <c r="L606" s="6">
        <f t="shared" si="67"/>
        <v>174.9</v>
      </c>
      <c r="M606" s="36">
        <f t="shared" si="68"/>
        <v>0.06</v>
      </c>
      <c r="N606" s="82">
        <f t="shared" si="69"/>
        <v>0</v>
      </c>
      <c r="O606" s="82">
        <f t="shared" si="72"/>
        <v>1</v>
      </c>
    </row>
    <row r="607" spans="3:15" hidden="1" x14ac:dyDescent="0.35">
      <c r="C607" s="82">
        <v>7</v>
      </c>
      <c r="D607" s="36">
        <v>0.15</v>
      </c>
      <c r="E607" s="6">
        <v>100</v>
      </c>
      <c r="F607" s="6">
        <v>104</v>
      </c>
      <c r="G607" s="6">
        <v>108</v>
      </c>
      <c r="H607" s="6">
        <v>306.39999999999998</v>
      </c>
      <c r="J607" s="36">
        <f t="shared" si="65"/>
        <v>0.04</v>
      </c>
      <c r="K607" s="6">
        <f t="shared" si="66"/>
        <v>8</v>
      </c>
      <c r="L607" s="6">
        <f t="shared" si="67"/>
        <v>299.39999999999998</v>
      </c>
      <c r="M607" s="36">
        <f t="shared" si="68"/>
        <v>0.08</v>
      </c>
      <c r="N607" s="82">
        <f t="shared" si="69"/>
        <v>0</v>
      </c>
      <c r="O607" s="82">
        <f t="shared" si="72"/>
        <v>1</v>
      </c>
    </row>
    <row r="608" spans="3:15" hidden="1" x14ac:dyDescent="0.35">
      <c r="C608" s="82">
        <v>7</v>
      </c>
      <c r="D608" s="36">
        <v>0.15</v>
      </c>
      <c r="E608" s="6">
        <v>100</v>
      </c>
      <c r="F608" s="6">
        <v>105</v>
      </c>
      <c r="G608" s="6">
        <v>110.00000000000001</v>
      </c>
      <c r="H608" s="6">
        <v>462.8</v>
      </c>
      <c r="J608" s="36">
        <f t="shared" si="65"/>
        <v>0.05</v>
      </c>
      <c r="K608" s="6">
        <f t="shared" si="66"/>
        <v>10.000000000000014</v>
      </c>
      <c r="L608" s="6">
        <f t="shared" si="67"/>
        <v>455.8</v>
      </c>
      <c r="M608" s="36">
        <f t="shared" si="68"/>
        <v>0.10000000000000014</v>
      </c>
      <c r="N608" s="82">
        <f t="shared" si="69"/>
        <v>0</v>
      </c>
      <c r="O608" s="82">
        <f t="shared" si="72"/>
        <v>1</v>
      </c>
    </row>
    <row r="609" spans="3:15" hidden="1" x14ac:dyDescent="0.35">
      <c r="C609" s="82">
        <v>7</v>
      </c>
      <c r="D609" s="36">
        <v>0.15</v>
      </c>
      <c r="E609" s="6">
        <v>100</v>
      </c>
      <c r="F609" s="6">
        <v>106</v>
      </c>
      <c r="G609" s="6">
        <v>112.00000000000001</v>
      </c>
      <c r="H609" s="6">
        <v>647.9</v>
      </c>
      <c r="J609" s="36">
        <f t="shared" si="65"/>
        <v>0.06</v>
      </c>
      <c r="K609" s="6">
        <f t="shared" si="66"/>
        <v>12.000000000000014</v>
      </c>
      <c r="L609" s="6">
        <f t="shared" si="67"/>
        <v>640.9</v>
      </c>
      <c r="M609" s="36">
        <f t="shared" si="68"/>
        <v>0.12000000000000015</v>
      </c>
      <c r="N609" s="82">
        <f t="shared" si="69"/>
        <v>0</v>
      </c>
      <c r="O609" s="82">
        <f t="shared" si="72"/>
        <v>1</v>
      </c>
    </row>
    <row r="610" spans="3:15" hidden="1" x14ac:dyDescent="0.35">
      <c r="C610" s="82">
        <v>7</v>
      </c>
      <c r="D610" s="36">
        <v>0.15</v>
      </c>
      <c r="E610" s="6">
        <v>100</v>
      </c>
      <c r="F610" s="6">
        <v>107</v>
      </c>
      <c r="G610" s="6">
        <v>114.00000000000001</v>
      </c>
      <c r="H610" s="6">
        <v>858.9</v>
      </c>
      <c r="J610" s="36">
        <f t="shared" si="65"/>
        <v>7.0000000000000007E-2</v>
      </c>
      <c r="K610" s="6">
        <f t="shared" si="66"/>
        <v>14.000000000000014</v>
      </c>
      <c r="L610" s="6">
        <f t="shared" si="67"/>
        <v>851.9</v>
      </c>
      <c r="M610" s="36">
        <f t="shared" si="68"/>
        <v>0.14000000000000015</v>
      </c>
      <c r="N610" s="82">
        <f t="shared" si="69"/>
        <v>0</v>
      </c>
      <c r="O610" s="82">
        <f t="shared" si="72"/>
        <v>1</v>
      </c>
    </row>
    <row r="611" spans="3:15" hidden="1" x14ac:dyDescent="0.35">
      <c r="C611" s="82">
        <v>7</v>
      </c>
      <c r="D611" s="36">
        <v>0.15</v>
      </c>
      <c r="E611" s="6">
        <v>100</v>
      </c>
      <c r="F611" s="6">
        <v>108</v>
      </c>
      <c r="G611" s="6">
        <v>115.99999999999999</v>
      </c>
      <c r="H611" s="6">
        <v>1093.4000000000001</v>
      </c>
      <c r="J611" s="36">
        <f t="shared" si="65"/>
        <v>0.08</v>
      </c>
      <c r="K611" s="6">
        <f t="shared" si="66"/>
        <v>15.999999999999986</v>
      </c>
      <c r="L611" s="6">
        <f t="shared" si="67"/>
        <v>1086.4000000000001</v>
      </c>
      <c r="M611" s="36">
        <f t="shared" si="68"/>
        <v>0.15999999999999986</v>
      </c>
      <c r="N611" s="82">
        <f t="shared" si="69"/>
        <v>0</v>
      </c>
      <c r="O611" s="82">
        <f t="shared" si="72"/>
        <v>1</v>
      </c>
    </row>
    <row r="612" spans="3:15" hidden="1" x14ac:dyDescent="0.35">
      <c r="C612" s="82">
        <v>7</v>
      </c>
      <c r="D612" s="36">
        <v>0.15</v>
      </c>
      <c r="E612" s="6">
        <v>100</v>
      </c>
      <c r="F612" s="6">
        <v>109</v>
      </c>
      <c r="G612" s="6">
        <v>118</v>
      </c>
      <c r="H612" s="6">
        <v>1349.5</v>
      </c>
      <c r="J612" s="36">
        <f t="shared" si="65"/>
        <v>0.09</v>
      </c>
      <c r="K612" s="6">
        <f t="shared" si="66"/>
        <v>18</v>
      </c>
      <c r="L612" s="6">
        <f t="shared" si="67"/>
        <v>1342.5</v>
      </c>
      <c r="M612" s="36">
        <f t="shared" si="68"/>
        <v>0.18</v>
      </c>
      <c r="N612" s="82">
        <f t="shared" si="69"/>
        <v>0</v>
      </c>
      <c r="O612" s="82">
        <f t="shared" si="72"/>
        <v>1</v>
      </c>
    </row>
    <row r="613" spans="3:15" hidden="1" x14ac:dyDescent="0.35">
      <c r="C613" s="82">
        <v>7</v>
      </c>
      <c r="D613" s="36">
        <v>0.15</v>
      </c>
      <c r="E613" s="6">
        <v>100</v>
      </c>
      <c r="F613" s="6">
        <v>110</v>
      </c>
      <c r="G613" s="6">
        <v>120</v>
      </c>
      <c r="H613" s="6">
        <v>1625.5</v>
      </c>
      <c r="J613" s="36">
        <f t="shared" si="65"/>
        <v>0.1</v>
      </c>
      <c r="K613" s="6">
        <f t="shared" si="66"/>
        <v>20</v>
      </c>
      <c r="L613" s="6">
        <f t="shared" si="67"/>
        <v>1618.5</v>
      </c>
      <c r="M613" s="36">
        <f t="shared" si="68"/>
        <v>0.2</v>
      </c>
      <c r="N613" s="82">
        <f t="shared" si="69"/>
        <v>0</v>
      </c>
      <c r="O613" s="82">
        <f t="shared" si="72"/>
        <v>1</v>
      </c>
    </row>
    <row r="614" spans="3:15" x14ac:dyDescent="0.35">
      <c r="C614" s="82">
        <v>7</v>
      </c>
      <c r="D614" s="36">
        <v>0.25</v>
      </c>
      <c r="E614" s="6">
        <v>100</v>
      </c>
      <c r="F614" s="6">
        <v>102</v>
      </c>
      <c r="G614" s="6">
        <v>104</v>
      </c>
      <c r="H614" s="6">
        <v>43.1</v>
      </c>
      <c r="J614" s="36">
        <f t="shared" si="65"/>
        <v>0.02</v>
      </c>
      <c r="K614" s="6">
        <f t="shared" si="66"/>
        <v>4</v>
      </c>
      <c r="L614" s="6">
        <f t="shared" si="67"/>
        <v>36.1</v>
      </c>
      <c r="M614" s="36">
        <f t="shared" si="68"/>
        <v>0.04</v>
      </c>
      <c r="N614" s="82">
        <f t="shared" si="69"/>
        <v>0</v>
      </c>
      <c r="O614" s="82">
        <f t="shared" si="72"/>
        <v>1</v>
      </c>
    </row>
    <row r="615" spans="3:15" x14ac:dyDescent="0.35">
      <c r="C615" s="82">
        <v>7</v>
      </c>
      <c r="D615" s="36">
        <v>0.25</v>
      </c>
      <c r="E615" s="6">
        <v>100</v>
      </c>
      <c r="F615" s="6">
        <v>103</v>
      </c>
      <c r="G615" s="6">
        <v>106</v>
      </c>
      <c r="H615" s="6">
        <v>75.400000000000006</v>
      </c>
      <c r="J615" s="36">
        <f t="shared" si="65"/>
        <v>0.03</v>
      </c>
      <c r="K615" s="6">
        <f t="shared" si="66"/>
        <v>6</v>
      </c>
      <c r="L615" s="6">
        <f t="shared" si="67"/>
        <v>68.400000000000006</v>
      </c>
      <c r="M615" s="36">
        <f t="shared" si="68"/>
        <v>0.06</v>
      </c>
      <c r="N615" s="82">
        <f t="shared" si="69"/>
        <v>0</v>
      </c>
      <c r="O615" s="82">
        <f t="shared" si="72"/>
        <v>1</v>
      </c>
    </row>
    <row r="616" spans="3:15" x14ac:dyDescent="0.35">
      <c r="C616" s="82">
        <v>7</v>
      </c>
      <c r="D616" s="36">
        <v>0.25</v>
      </c>
      <c r="E616" s="6">
        <v>100</v>
      </c>
      <c r="F616" s="6">
        <v>104</v>
      </c>
      <c r="G616" s="6">
        <v>108</v>
      </c>
      <c r="H616" s="6">
        <v>118.5</v>
      </c>
      <c r="J616" s="36">
        <f t="shared" si="65"/>
        <v>0.04</v>
      </c>
      <c r="K616" s="6">
        <f t="shared" si="66"/>
        <v>8</v>
      </c>
      <c r="L616" s="6">
        <f t="shared" si="67"/>
        <v>111.5</v>
      </c>
      <c r="M616" s="36">
        <f t="shared" si="68"/>
        <v>0.08</v>
      </c>
      <c r="N616" s="82">
        <f t="shared" si="69"/>
        <v>0</v>
      </c>
      <c r="O616" s="82">
        <f t="shared" si="72"/>
        <v>1</v>
      </c>
    </row>
    <row r="617" spans="3:15" x14ac:dyDescent="0.35">
      <c r="C617" s="82">
        <v>7</v>
      </c>
      <c r="D617" s="36">
        <v>0.25</v>
      </c>
      <c r="E617" s="6">
        <v>100</v>
      </c>
      <c r="F617" s="6">
        <v>105</v>
      </c>
      <c r="G617" s="6">
        <v>110.00000000000001</v>
      </c>
      <c r="H617" s="6">
        <v>172.5</v>
      </c>
      <c r="J617" s="36">
        <f t="shared" si="65"/>
        <v>0.05</v>
      </c>
      <c r="K617" s="6">
        <f t="shared" si="66"/>
        <v>10.000000000000014</v>
      </c>
      <c r="L617" s="6">
        <f t="shared" si="67"/>
        <v>165.5</v>
      </c>
      <c r="M617" s="36">
        <f t="shared" si="68"/>
        <v>0.10000000000000014</v>
      </c>
      <c r="N617" s="82">
        <f t="shared" si="69"/>
        <v>0</v>
      </c>
      <c r="O617" s="82">
        <f t="shared" si="72"/>
        <v>1</v>
      </c>
    </row>
    <row r="618" spans="3:15" hidden="1" x14ac:dyDescent="0.35">
      <c r="C618" s="82">
        <v>7</v>
      </c>
      <c r="D618" s="36">
        <v>0.25</v>
      </c>
      <c r="E618" s="6">
        <v>100</v>
      </c>
      <c r="F618" s="6">
        <v>106</v>
      </c>
      <c r="G618" s="6">
        <v>112.00000000000001</v>
      </c>
      <c r="H618" s="6">
        <v>237</v>
      </c>
      <c r="J618" s="36">
        <f t="shared" si="65"/>
        <v>0.06</v>
      </c>
      <c r="K618" s="6">
        <f t="shared" si="66"/>
        <v>12.000000000000014</v>
      </c>
      <c r="L618" s="6">
        <f t="shared" si="67"/>
        <v>230</v>
      </c>
      <c r="M618" s="36">
        <f t="shared" si="68"/>
        <v>0.12000000000000015</v>
      </c>
      <c r="N618" s="82">
        <f t="shared" si="69"/>
        <v>0</v>
      </c>
      <c r="O618" s="82">
        <f t="shared" si="72"/>
        <v>1</v>
      </c>
    </row>
    <row r="619" spans="3:15" hidden="1" x14ac:dyDescent="0.35">
      <c r="C619" s="82">
        <v>7</v>
      </c>
      <c r="D619" s="36">
        <v>0.25</v>
      </c>
      <c r="E619" s="6">
        <v>100</v>
      </c>
      <c r="F619" s="6">
        <v>107</v>
      </c>
      <c r="G619" s="6">
        <v>114.00000000000001</v>
      </c>
      <c r="H619" s="6">
        <v>311.39999999999998</v>
      </c>
      <c r="J619" s="36">
        <f t="shared" si="65"/>
        <v>7.0000000000000007E-2</v>
      </c>
      <c r="K619" s="6">
        <f t="shared" si="66"/>
        <v>14.000000000000014</v>
      </c>
      <c r="L619" s="6">
        <f t="shared" si="67"/>
        <v>304.39999999999998</v>
      </c>
      <c r="M619" s="36">
        <f t="shared" si="68"/>
        <v>0.14000000000000015</v>
      </c>
      <c r="N619" s="82">
        <f t="shared" si="69"/>
        <v>0</v>
      </c>
      <c r="O619" s="82">
        <f t="shared" si="72"/>
        <v>1</v>
      </c>
    </row>
    <row r="620" spans="3:15" hidden="1" x14ac:dyDescent="0.35">
      <c r="C620" s="82">
        <v>7</v>
      </c>
      <c r="D620" s="36">
        <v>0.25</v>
      </c>
      <c r="E620" s="6">
        <v>100</v>
      </c>
      <c r="F620" s="6">
        <v>108</v>
      </c>
      <c r="G620" s="6">
        <v>115.99999999999999</v>
      </c>
      <c r="H620" s="6">
        <v>394.8</v>
      </c>
      <c r="J620" s="36">
        <f t="shared" si="65"/>
        <v>0.08</v>
      </c>
      <c r="K620" s="6">
        <f t="shared" si="66"/>
        <v>15.999999999999986</v>
      </c>
      <c r="L620" s="6">
        <f t="shared" si="67"/>
        <v>387.8</v>
      </c>
      <c r="M620" s="36">
        <f t="shared" si="68"/>
        <v>0.15999999999999986</v>
      </c>
      <c r="N620" s="82">
        <f t="shared" si="69"/>
        <v>0</v>
      </c>
      <c r="O620" s="82">
        <f t="shared" si="72"/>
        <v>1</v>
      </c>
    </row>
    <row r="621" spans="3:15" hidden="1" x14ac:dyDescent="0.35">
      <c r="C621" s="82">
        <v>7</v>
      </c>
      <c r="D621" s="36">
        <v>0.25</v>
      </c>
      <c r="E621" s="6">
        <v>100</v>
      </c>
      <c r="F621" s="6">
        <v>109</v>
      </c>
      <c r="G621" s="6">
        <v>118</v>
      </c>
      <c r="H621" s="6">
        <v>486.4</v>
      </c>
      <c r="J621" s="36">
        <f t="shared" si="65"/>
        <v>0.09</v>
      </c>
      <c r="K621" s="6">
        <f t="shared" si="66"/>
        <v>18</v>
      </c>
      <c r="L621" s="6">
        <f t="shared" si="67"/>
        <v>479.4</v>
      </c>
      <c r="M621" s="36">
        <f t="shared" si="68"/>
        <v>0.18</v>
      </c>
      <c r="N621" s="82">
        <f t="shared" si="69"/>
        <v>0</v>
      </c>
      <c r="O621" s="82">
        <f t="shared" si="72"/>
        <v>1</v>
      </c>
    </row>
    <row r="622" spans="3:15" hidden="1" x14ac:dyDescent="0.35">
      <c r="C622" s="82">
        <v>7</v>
      </c>
      <c r="D622" s="36">
        <v>0.25</v>
      </c>
      <c r="E622" s="6">
        <v>100</v>
      </c>
      <c r="F622" s="6">
        <v>110</v>
      </c>
      <c r="G622" s="6">
        <v>120</v>
      </c>
      <c r="H622" s="6">
        <v>585.5</v>
      </c>
      <c r="J622" s="36">
        <f t="shared" si="65"/>
        <v>0.1</v>
      </c>
      <c r="K622" s="6">
        <f t="shared" si="66"/>
        <v>20</v>
      </c>
      <c r="L622" s="6">
        <f t="shared" si="67"/>
        <v>578.5</v>
      </c>
      <c r="M622" s="36">
        <f t="shared" si="68"/>
        <v>0.2</v>
      </c>
      <c r="N622" s="82">
        <f t="shared" si="69"/>
        <v>0</v>
      </c>
      <c r="O622" s="82">
        <f t="shared" si="72"/>
        <v>1</v>
      </c>
    </row>
    <row r="623" spans="3:15" hidden="1" x14ac:dyDescent="0.35">
      <c r="C623" s="82">
        <v>7</v>
      </c>
      <c r="D623" s="36">
        <v>0.4</v>
      </c>
      <c r="E623" s="6">
        <v>100</v>
      </c>
      <c r="F623" s="6">
        <v>102</v>
      </c>
      <c r="G623" s="6">
        <v>104</v>
      </c>
      <c r="H623" s="6">
        <v>25</v>
      </c>
      <c r="J623" s="36">
        <f t="shared" si="65"/>
        <v>0.02</v>
      </c>
      <c r="K623" s="6">
        <f t="shared" si="66"/>
        <v>4</v>
      </c>
      <c r="L623" s="6">
        <f t="shared" si="67"/>
        <v>18</v>
      </c>
      <c r="M623" s="36">
        <f t="shared" si="68"/>
        <v>0.04</v>
      </c>
      <c r="N623" s="82">
        <f t="shared" si="69"/>
        <v>0</v>
      </c>
      <c r="O623" s="82">
        <f t="shared" si="72"/>
        <v>1</v>
      </c>
    </row>
    <row r="624" spans="3:15" hidden="1" x14ac:dyDescent="0.35">
      <c r="C624" s="82">
        <v>7</v>
      </c>
      <c r="D624" s="36">
        <v>0.4</v>
      </c>
      <c r="E624" s="6">
        <v>100</v>
      </c>
      <c r="F624" s="6">
        <v>103</v>
      </c>
      <c r="G624" s="6">
        <v>106</v>
      </c>
      <c r="H624" s="6">
        <v>38.700000000000003</v>
      </c>
      <c r="J624" s="36">
        <f t="shared" si="65"/>
        <v>0.03</v>
      </c>
      <c r="K624" s="6">
        <f t="shared" si="66"/>
        <v>6</v>
      </c>
      <c r="L624" s="6">
        <f t="shared" si="67"/>
        <v>31.700000000000003</v>
      </c>
      <c r="M624" s="36">
        <f t="shared" si="68"/>
        <v>0.06</v>
      </c>
      <c r="N624" s="82">
        <f t="shared" si="69"/>
        <v>0</v>
      </c>
      <c r="O624" s="82">
        <f t="shared" si="72"/>
        <v>1</v>
      </c>
    </row>
    <row r="625" spans="3:15" hidden="1" x14ac:dyDescent="0.35">
      <c r="C625" s="82">
        <v>7</v>
      </c>
      <c r="D625" s="36">
        <v>0.4</v>
      </c>
      <c r="E625" s="6">
        <v>100</v>
      </c>
      <c r="F625" s="6">
        <v>104</v>
      </c>
      <c r="G625" s="6">
        <v>108</v>
      </c>
      <c r="H625" s="6">
        <v>55.8</v>
      </c>
      <c r="J625" s="36">
        <f t="shared" si="65"/>
        <v>0.04</v>
      </c>
      <c r="K625" s="6">
        <f t="shared" si="66"/>
        <v>8</v>
      </c>
      <c r="L625" s="6">
        <f t="shared" si="67"/>
        <v>48.8</v>
      </c>
      <c r="M625" s="36">
        <f t="shared" si="68"/>
        <v>0.08</v>
      </c>
      <c r="N625" s="82">
        <f t="shared" si="69"/>
        <v>0</v>
      </c>
      <c r="O625" s="82">
        <f t="shared" si="72"/>
        <v>1</v>
      </c>
    </row>
    <row r="626" spans="3:15" hidden="1" x14ac:dyDescent="0.35">
      <c r="C626" s="82">
        <v>7</v>
      </c>
      <c r="D626" s="36">
        <v>0.4</v>
      </c>
      <c r="E626" s="6">
        <v>100</v>
      </c>
      <c r="F626" s="6">
        <v>105</v>
      </c>
      <c r="G626" s="6">
        <v>110.00000000000001</v>
      </c>
      <c r="H626" s="6">
        <v>76.5</v>
      </c>
      <c r="J626" s="36">
        <f t="shared" si="65"/>
        <v>0.05</v>
      </c>
      <c r="K626" s="6">
        <f t="shared" si="66"/>
        <v>10.000000000000014</v>
      </c>
      <c r="L626" s="6">
        <f t="shared" si="67"/>
        <v>69.5</v>
      </c>
      <c r="M626" s="36">
        <f t="shared" si="68"/>
        <v>0.10000000000000014</v>
      </c>
      <c r="N626" s="82">
        <f t="shared" si="69"/>
        <v>0</v>
      </c>
      <c r="O626" s="82">
        <f t="shared" si="72"/>
        <v>1</v>
      </c>
    </row>
    <row r="627" spans="3:15" hidden="1" x14ac:dyDescent="0.35">
      <c r="C627" s="82">
        <v>7</v>
      </c>
      <c r="D627" s="36">
        <v>0.4</v>
      </c>
      <c r="E627" s="6">
        <v>100</v>
      </c>
      <c r="F627" s="6">
        <v>106</v>
      </c>
      <c r="G627" s="6">
        <v>112.00000000000001</v>
      </c>
      <c r="H627" s="6">
        <v>100.8</v>
      </c>
      <c r="J627" s="36">
        <f t="shared" si="65"/>
        <v>0.06</v>
      </c>
      <c r="K627" s="6">
        <f t="shared" si="66"/>
        <v>12.000000000000014</v>
      </c>
      <c r="L627" s="6">
        <f t="shared" si="67"/>
        <v>93.8</v>
      </c>
      <c r="M627" s="36">
        <f t="shared" si="68"/>
        <v>0.12000000000000015</v>
      </c>
      <c r="N627" s="82">
        <f t="shared" si="69"/>
        <v>0</v>
      </c>
      <c r="O627" s="82">
        <f t="shared" si="72"/>
        <v>1</v>
      </c>
    </row>
    <row r="628" spans="3:15" hidden="1" x14ac:dyDescent="0.35">
      <c r="C628" s="82">
        <v>7</v>
      </c>
      <c r="D628" s="36">
        <v>0.4</v>
      </c>
      <c r="E628" s="6">
        <v>100</v>
      </c>
      <c r="F628" s="6">
        <v>107</v>
      </c>
      <c r="G628" s="6">
        <v>114.00000000000001</v>
      </c>
      <c r="H628" s="6">
        <v>128.6</v>
      </c>
      <c r="J628" s="36">
        <f t="shared" si="65"/>
        <v>7.0000000000000007E-2</v>
      </c>
      <c r="K628" s="6">
        <f t="shared" si="66"/>
        <v>14.000000000000014</v>
      </c>
      <c r="L628" s="6">
        <f t="shared" si="67"/>
        <v>121.6</v>
      </c>
      <c r="M628" s="36">
        <f t="shared" si="68"/>
        <v>0.14000000000000015</v>
      </c>
      <c r="N628" s="82">
        <f t="shared" si="69"/>
        <v>0</v>
      </c>
      <c r="O628" s="82">
        <f t="shared" si="72"/>
        <v>1</v>
      </c>
    </row>
    <row r="629" spans="3:15" hidden="1" x14ac:dyDescent="0.35">
      <c r="C629" s="82">
        <v>7</v>
      </c>
      <c r="D629" s="36">
        <v>0.4</v>
      </c>
      <c r="E629" s="6">
        <v>100</v>
      </c>
      <c r="F629" s="6">
        <v>108</v>
      </c>
      <c r="G629" s="6">
        <v>115.99999999999999</v>
      </c>
      <c r="H629" s="6">
        <v>159.9</v>
      </c>
      <c r="J629" s="36">
        <f t="shared" si="65"/>
        <v>0.08</v>
      </c>
      <c r="K629" s="6">
        <f t="shared" si="66"/>
        <v>15.999999999999986</v>
      </c>
      <c r="L629" s="6">
        <f t="shared" si="67"/>
        <v>152.9</v>
      </c>
      <c r="M629" s="36">
        <f t="shared" si="68"/>
        <v>0.15999999999999986</v>
      </c>
      <c r="N629" s="82">
        <f t="shared" si="69"/>
        <v>0</v>
      </c>
      <c r="O629" s="82">
        <f t="shared" si="72"/>
        <v>1</v>
      </c>
    </row>
    <row r="630" spans="3:15" hidden="1" x14ac:dyDescent="0.35">
      <c r="C630" s="82">
        <v>7</v>
      </c>
      <c r="D630" s="36">
        <v>0.4</v>
      </c>
      <c r="E630" s="6">
        <v>100</v>
      </c>
      <c r="F630" s="6">
        <v>109</v>
      </c>
      <c r="G630" s="6">
        <v>118</v>
      </c>
      <c r="H630" s="6">
        <v>194.4</v>
      </c>
      <c r="J630" s="36">
        <f t="shared" si="65"/>
        <v>0.09</v>
      </c>
      <c r="K630" s="6">
        <f t="shared" si="66"/>
        <v>18</v>
      </c>
      <c r="L630" s="6">
        <f t="shared" si="67"/>
        <v>187.4</v>
      </c>
      <c r="M630" s="36">
        <f t="shared" si="68"/>
        <v>0.18</v>
      </c>
      <c r="N630" s="82">
        <f t="shared" si="69"/>
        <v>0</v>
      </c>
      <c r="O630" s="82">
        <f t="shared" si="72"/>
        <v>1</v>
      </c>
    </row>
    <row r="631" spans="3:15" hidden="1" x14ac:dyDescent="0.35">
      <c r="C631" s="82">
        <v>7</v>
      </c>
      <c r="D631" s="36">
        <v>0.4</v>
      </c>
      <c r="E631" s="6">
        <v>100</v>
      </c>
      <c r="F631" s="6">
        <v>110</v>
      </c>
      <c r="G631" s="6">
        <v>120</v>
      </c>
      <c r="H631" s="6">
        <v>232</v>
      </c>
      <c r="J631" s="36">
        <f t="shared" si="65"/>
        <v>0.1</v>
      </c>
      <c r="K631" s="6">
        <f t="shared" si="66"/>
        <v>20</v>
      </c>
      <c r="L631" s="6">
        <f t="shared" si="67"/>
        <v>225</v>
      </c>
      <c r="M631" s="36">
        <f t="shared" si="68"/>
        <v>0.2</v>
      </c>
      <c r="N631" s="82">
        <f t="shared" si="69"/>
        <v>0</v>
      </c>
      <c r="O631" s="82">
        <f t="shared" si="72"/>
        <v>1</v>
      </c>
    </row>
    <row r="632" spans="3:15" hidden="1" x14ac:dyDescent="0.35">
      <c r="C632" s="82">
        <v>7</v>
      </c>
      <c r="D632" s="36">
        <v>0.5</v>
      </c>
      <c r="E632" s="6">
        <v>100</v>
      </c>
      <c r="F632" s="6">
        <v>102</v>
      </c>
      <c r="G632" s="6">
        <v>104</v>
      </c>
      <c r="H632" s="6">
        <v>20.3</v>
      </c>
      <c r="J632" s="36">
        <f t="shared" si="65"/>
        <v>0.02</v>
      </c>
      <c r="K632" s="6">
        <f t="shared" si="66"/>
        <v>4</v>
      </c>
      <c r="L632" s="6">
        <f t="shared" si="67"/>
        <v>13.3</v>
      </c>
      <c r="M632" s="36">
        <f t="shared" si="68"/>
        <v>0.04</v>
      </c>
      <c r="N632" s="82">
        <f t="shared" si="69"/>
        <v>0</v>
      </c>
      <c r="O632" s="82">
        <f t="shared" si="72"/>
        <v>1</v>
      </c>
    </row>
    <row r="633" spans="3:15" hidden="1" x14ac:dyDescent="0.35">
      <c r="C633" s="82">
        <v>7</v>
      </c>
      <c r="D633" s="36">
        <v>0.5</v>
      </c>
      <c r="E633" s="6">
        <v>100</v>
      </c>
      <c r="F633" s="6">
        <v>103</v>
      </c>
      <c r="G633" s="6">
        <v>106</v>
      </c>
      <c r="H633" s="6">
        <v>29.7</v>
      </c>
      <c r="J633" s="36">
        <f t="shared" si="65"/>
        <v>0.03</v>
      </c>
      <c r="K633" s="6">
        <f t="shared" si="66"/>
        <v>6</v>
      </c>
      <c r="L633" s="6">
        <f t="shared" si="67"/>
        <v>22.7</v>
      </c>
      <c r="M633" s="36">
        <f t="shared" si="68"/>
        <v>0.06</v>
      </c>
      <c r="N633" s="82">
        <f t="shared" si="69"/>
        <v>0</v>
      </c>
      <c r="O633" s="82">
        <f t="shared" si="72"/>
        <v>1</v>
      </c>
    </row>
    <row r="634" spans="3:15" hidden="1" x14ac:dyDescent="0.35">
      <c r="C634" s="82">
        <v>7</v>
      </c>
      <c r="D634" s="36">
        <v>0.5</v>
      </c>
      <c r="E634" s="6">
        <v>100</v>
      </c>
      <c r="F634" s="6">
        <v>104</v>
      </c>
      <c r="G634" s="6">
        <v>108</v>
      </c>
      <c r="H634" s="6">
        <v>41.1</v>
      </c>
      <c r="J634" s="36">
        <f t="shared" si="65"/>
        <v>0.04</v>
      </c>
      <c r="K634" s="6">
        <f t="shared" si="66"/>
        <v>8</v>
      </c>
      <c r="L634" s="6">
        <f t="shared" si="67"/>
        <v>34.1</v>
      </c>
      <c r="M634" s="36">
        <f t="shared" si="68"/>
        <v>0.08</v>
      </c>
      <c r="N634" s="82">
        <f t="shared" si="69"/>
        <v>0</v>
      </c>
      <c r="O634" s="82">
        <f t="shared" si="72"/>
        <v>1</v>
      </c>
    </row>
    <row r="635" spans="3:15" hidden="1" x14ac:dyDescent="0.35">
      <c r="C635" s="82">
        <v>7</v>
      </c>
      <c r="D635" s="36">
        <v>0.5</v>
      </c>
      <c r="E635" s="6">
        <v>100</v>
      </c>
      <c r="F635" s="6">
        <v>105</v>
      </c>
      <c r="G635" s="6">
        <v>110.00000000000001</v>
      </c>
      <c r="H635" s="6">
        <v>54.5</v>
      </c>
      <c r="J635" s="36">
        <f t="shared" si="65"/>
        <v>0.05</v>
      </c>
      <c r="K635" s="6">
        <f t="shared" si="66"/>
        <v>10.000000000000014</v>
      </c>
      <c r="L635" s="6">
        <f t="shared" si="67"/>
        <v>47.5</v>
      </c>
      <c r="M635" s="36">
        <f t="shared" si="68"/>
        <v>0.10000000000000014</v>
      </c>
      <c r="N635" s="82">
        <f t="shared" si="69"/>
        <v>0</v>
      </c>
      <c r="O635" s="82">
        <f t="shared" si="72"/>
        <v>1</v>
      </c>
    </row>
    <row r="636" spans="3:15" hidden="1" x14ac:dyDescent="0.35">
      <c r="C636" s="82">
        <v>7</v>
      </c>
      <c r="D636" s="36">
        <v>0.5</v>
      </c>
      <c r="E636" s="6">
        <v>100</v>
      </c>
      <c r="F636" s="6">
        <v>106</v>
      </c>
      <c r="G636" s="6">
        <v>112.00000000000001</v>
      </c>
      <c r="H636" s="6">
        <v>70</v>
      </c>
      <c r="J636" s="36">
        <f t="shared" si="65"/>
        <v>0.06</v>
      </c>
      <c r="K636" s="6">
        <f t="shared" si="66"/>
        <v>12.000000000000014</v>
      </c>
      <c r="L636" s="6">
        <f t="shared" si="67"/>
        <v>63</v>
      </c>
      <c r="M636" s="36">
        <f t="shared" si="68"/>
        <v>0.12000000000000015</v>
      </c>
      <c r="N636" s="82">
        <f t="shared" si="69"/>
        <v>0</v>
      </c>
      <c r="O636" s="82">
        <f t="shared" si="72"/>
        <v>1</v>
      </c>
    </row>
    <row r="637" spans="3:15" hidden="1" x14ac:dyDescent="0.35">
      <c r="C637" s="82">
        <v>7</v>
      </c>
      <c r="D637" s="36">
        <v>0.5</v>
      </c>
      <c r="E637" s="6">
        <v>100</v>
      </c>
      <c r="F637" s="6">
        <v>107</v>
      </c>
      <c r="G637" s="6">
        <v>114.00000000000001</v>
      </c>
      <c r="H637" s="6">
        <v>87.6</v>
      </c>
      <c r="J637" s="36">
        <f t="shared" si="65"/>
        <v>7.0000000000000007E-2</v>
      </c>
      <c r="K637" s="6">
        <f t="shared" si="66"/>
        <v>14.000000000000014</v>
      </c>
      <c r="L637" s="6">
        <f t="shared" si="67"/>
        <v>80.599999999999994</v>
      </c>
      <c r="M637" s="36">
        <f t="shared" si="68"/>
        <v>0.14000000000000015</v>
      </c>
      <c r="N637" s="82">
        <f t="shared" si="69"/>
        <v>0</v>
      </c>
      <c r="O637" s="82">
        <f t="shared" si="72"/>
        <v>1</v>
      </c>
    </row>
    <row r="638" spans="3:15" hidden="1" x14ac:dyDescent="0.35">
      <c r="C638" s="82">
        <v>7</v>
      </c>
      <c r="D638" s="36">
        <v>0.5</v>
      </c>
      <c r="E638" s="6">
        <v>100</v>
      </c>
      <c r="F638" s="6">
        <v>108</v>
      </c>
      <c r="G638" s="6">
        <v>115.99999999999999</v>
      </c>
      <c r="H638" s="6">
        <v>107.2</v>
      </c>
      <c r="J638" s="36">
        <f t="shared" si="65"/>
        <v>0.08</v>
      </c>
      <c r="K638" s="6">
        <f t="shared" si="66"/>
        <v>15.999999999999986</v>
      </c>
      <c r="L638" s="6">
        <f t="shared" si="67"/>
        <v>100.2</v>
      </c>
      <c r="M638" s="36">
        <f t="shared" si="68"/>
        <v>0.15999999999999986</v>
      </c>
      <c r="N638" s="82">
        <f t="shared" si="69"/>
        <v>0</v>
      </c>
      <c r="O638" s="82">
        <f t="shared" si="72"/>
        <v>1</v>
      </c>
    </row>
    <row r="639" spans="3:15" hidden="1" x14ac:dyDescent="0.35">
      <c r="C639" s="82">
        <v>7</v>
      </c>
      <c r="D639" s="36">
        <v>0.5</v>
      </c>
      <c r="E639" s="6">
        <v>100</v>
      </c>
      <c r="F639" s="6">
        <v>109</v>
      </c>
      <c r="G639" s="6">
        <v>118</v>
      </c>
      <c r="H639" s="6">
        <v>128.80000000000001</v>
      </c>
      <c r="J639" s="36">
        <f t="shared" si="65"/>
        <v>0.09</v>
      </c>
      <c r="K639" s="6">
        <f t="shared" si="66"/>
        <v>18</v>
      </c>
      <c r="L639" s="6">
        <f t="shared" si="67"/>
        <v>121.80000000000001</v>
      </c>
      <c r="M639" s="36">
        <f t="shared" si="68"/>
        <v>0.18</v>
      </c>
      <c r="N639" s="82">
        <f t="shared" si="69"/>
        <v>0</v>
      </c>
      <c r="O639" s="82">
        <f t="shared" si="72"/>
        <v>1</v>
      </c>
    </row>
    <row r="640" spans="3:15" hidden="1" x14ac:dyDescent="0.35">
      <c r="C640" s="82">
        <v>7</v>
      </c>
      <c r="D640" s="36">
        <v>0.5</v>
      </c>
      <c r="E640" s="6">
        <v>100</v>
      </c>
      <c r="F640" s="6">
        <v>110</v>
      </c>
      <c r="G640" s="6">
        <v>120</v>
      </c>
      <c r="H640" s="6">
        <v>152.30000000000001</v>
      </c>
      <c r="J640" s="36">
        <f t="shared" si="65"/>
        <v>0.1</v>
      </c>
      <c r="K640" s="6">
        <f t="shared" si="66"/>
        <v>20</v>
      </c>
      <c r="L640" s="6">
        <f t="shared" si="67"/>
        <v>145.30000000000001</v>
      </c>
      <c r="M640" s="36">
        <f t="shared" si="68"/>
        <v>0.2</v>
      </c>
      <c r="N640" s="82">
        <f t="shared" si="69"/>
        <v>0</v>
      </c>
      <c r="O640" s="82">
        <f t="shared" si="72"/>
        <v>1</v>
      </c>
    </row>
    <row r="641" spans="3:15" hidden="1" x14ac:dyDescent="0.35">
      <c r="C641" s="82">
        <v>7</v>
      </c>
      <c r="D641" s="36">
        <v>0.15</v>
      </c>
      <c r="E641" s="6">
        <v>100</v>
      </c>
      <c r="F641" s="6">
        <v>100</v>
      </c>
      <c r="G641" s="6">
        <v>101</v>
      </c>
      <c r="H641" s="6">
        <v>16.2</v>
      </c>
      <c r="J641" s="36">
        <f t="shared" ref="J641:J700" si="74">(F641-E641)/E641</f>
        <v>0</v>
      </c>
      <c r="K641" s="6">
        <f t="shared" ref="K641:K700" si="75">G641-E641</f>
        <v>1</v>
      </c>
      <c r="L641" s="6">
        <f t="shared" ref="L641:L700" si="76">H641-C641</f>
        <v>9.1999999999999993</v>
      </c>
      <c r="M641" s="36">
        <f t="shared" ref="M641:M700" si="77">K641/E641</f>
        <v>0.01</v>
      </c>
      <c r="N641" s="82">
        <f t="shared" ref="N641:N700" si="78">IF(M641=J641,1,0)</f>
        <v>0</v>
      </c>
      <c r="O641" s="82">
        <f t="shared" ref="O641:O700" si="79">IF(J641=0,0,IF(M641/J641=2,1,0))</f>
        <v>0</v>
      </c>
    </row>
    <row r="642" spans="3:15" hidden="1" x14ac:dyDescent="0.35">
      <c r="C642" s="82">
        <v>7</v>
      </c>
      <c r="D642" s="36">
        <v>0.15</v>
      </c>
      <c r="E642" s="6">
        <v>100</v>
      </c>
      <c r="F642" s="6">
        <v>100</v>
      </c>
      <c r="G642" s="6">
        <v>102</v>
      </c>
      <c r="H642" s="6">
        <v>26.9</v>
      </c>
      <c r="J642" s="36">
        <f t="shared" si="74"/>
        <v>0</v>
      </c>
      <c r="K642" s="6">
        <f t="shared" si="75"/>
        <v>2</v>
      </c>
      <c r="L642" s="6">
        <f t="shared" si="76"/>
        <v>19.899999999999999</v>
      </c>
      <c r="M642" s="36">
        <f t="shared" si="77"/>
        <v>0.02</v>
      </c>
      <c r="N642" s="82">
        <f t="shared" si="78"/>
        <v>0</v>
      </c>
      <c r="O642" s="82">
        <f t="shared" si="79"/>
        <v>0</v>
      </c>
    </row>
    <row r="643" spans="3:15" hidden="1" x14ac:dyDescent="0.35">
      <c r="C643" s="82">
        <v>7</v>
      </c>
      <c r="D643" s="36">
        <v>0.15</v>
      </c>
      <c r="E643" s="6">
        <v>100</v>
      </c>
      <c r="F643" s="6">
        <v>100</v>
      </c>
      <c r="G643" s="6">
        <v>103</v>
      </c>
      <c r="H643" s="6">
        <v>38.700000000000003</v>
      </c>
      <c r="J643" s="36">
        <f t="shared" si="74"/>
        <v>0</v>
      </c>
      <c r="K643" s="6">
        <f t="shared" si="75"/>
        <v>3</v>
      </c>
      <c r="L643" s="6">
        <f t="shared" si="76"/>
        <v>31.700000000000003</v>
      </c>
      <c r="M643" s="36">
        <f t="shared" si="77"/>
        <v>0.03</v>
      </c>
      <c r="N643" s="82">
        <f t="shared" si="78"/>
        <v>0</v>
      </c>
      <c r="O643" s="82">
        <f t="shared" si="79"/>
        <v>0</v>
      </c>
    </row>
    <row r="644" spans="3:15" hidden="1" x14ac:dyDescent="0.35">
      <c r="C644" s="82">
        <v>7</v>
      </c>
      <c r="D644" s="36">
        <v>0.15</v>
      </c>
      <c r="E644" s="6">
        <v>100</v>
      </c>
      <c r="F644" s="6">
        <v>100</v>
      </c>
      <c r="G644" s="6">
        <v>104</v>
      </c>
      <c r="H644" s="6">
        <v>51.7</v>
      </c>
      <c r="J644" s="36">
        <f t="shared" si="74"/>
        <v>0</v>
      </c>
      <c r="K644" s="6">
        <f t="shared" si="75"/>
        <v>4</v>
      </c>
      <c r="L644" s="6">
        <f t="shared" si="76"/>
        <v>44.7</v>
      </c>
      <c r="M644" s="36">
        <f t="shared" si="77"/>
        <v>0.04</v>
      </c>
      <c r="N644" s="82">
        <f t="shared" si="78"/>
        <v>0</v>
      </c>
      <c r="O644" s="82">
        <f t="shared" si="79"/>
        <v>0</v>
      </c>
    </row>
    <row r="645" spans="3:15" hidden="1" x14ac:dyDescent="0.35">
      <c r="C645" s="82">
        <v>7</v>
      </c>
      <c r="D645" s="36">
        <v>0.15</v>
      </c>
      <c r="E645" s="6">
        <v>100</v>
      </c>
      <c r="F645" s="6">
        <v>100</v>
      </c>
      <c r="G645" s="6">
        <v>105</v>
      </c>
      <c r="H645" s="6">
        <v>65.599999999999994</v>
      </c>
      <c r="J645" s="36">
        <f t="shared" si="74"/>
        <v>0</v>
      </c>
      <c r="K645" s="6">
        <f t="shared" si="75"/>
        <v>5</v>
      </c>
      <c r="L645" s="6">
        <f t="shared" si="76"/>
        <v>58.599999999999994</v>
      </c>
      <c r="M645" s="36">
        <f t="shared" si="77"/>
        <v>0.05</v>
      </c>
      <c r="N645" s="82">
        <f t="shared" si="78"/>
        <v>0</v>
      </c>
      <c r="O645" s="82">
        <f t="shared" si="79"/>
        <v>0</v>
      </c>
    </row>
    <row r="646" spans="3:15" hidden="1" x14ac:dyDescent="0.35">
      <c r="C646" s="82">
        <v>1</v>
      </c>
      <c r="D646" s="36">
        <v>0.15</v>
      </c>
      <c r="E646" s="6">
        <v>100</v>
      </c>
      <c r="F646" s="6">
        <v>100</v>
      </c>
      <c r="G646" s="6">
        <v>101</v>
      </c>
      <c r="H646" s="6">
        <v>5</v>
      </c>
      <c r="J646" s="36">
        <f t="shared" si="74"/>
        <v>0</v>
      </c>
      <c r="K646" s="6">
        <f t="shared" si="75"/>
        <v>1</v>
      </c>
      <c r="L646" s="6">
        <f t="shared" si="76"/>
        <v>4</v>
      </c>
      <c r="M646" s="36">
        <f t="shared" si="77"/>
        <v>0.01</v>
      </c>
      <c r="N646" s="82">
        <f t="shared" si="78"/>
        <v>0</v>
      </c>
      <c r="O646" s="82">
        <f t="shared" si="79"/>
        <v>0</v>
      </c>
    </row>
    <row r="647" spans="3:15" hidden="1" x14ac:dyDescent="0.35">
      <c r="C647" s="82">
        <v>1</v>
      </c>
      <c r="D647" s="36">
        <v>0.15</v>
      </c>
      <c r="E647" s="6">
        <v>100</v>
      </c>
      <c r="F647" s="6">
        <v>100</v>
      </c>
      <c r="G647" s="6">
        <v>102</v>
      </c>
      <c r="H647" s="6">
        <v>10.3</v>
      </c>
      <c r="J647" s="36">
        <f t="shared" si="74"/>
        <v>0</v>
      </c>
      <c r="K647" s="6">
        <f t="shared" si="75"/>
        <v>2</v>
      </c>
      <c r="L647" s="6">
        <f t="shared" si="76"/>
        <v>9.3000000000000007</v>
      </c>
      <c r="M647" s="36">
        <f t="shared" si="77"/>
        <v>0.02</v>
      </c>
      <c r="N647" s="82">
        <f t="shared" si="78"/>
        <v>0</v>
      </c>
      <c r="O647" s="82">
        <f t="shared" si="79"/>
        <v>0</v>
      </c>
    </row>
    <row r="648" spans="3:15" hidden="1" x14ac:dyDescent="0.35">
      <c r="C648" s="82">
        <v>1</v>
      </c>
      <c r="D648" s="36">
        <v>0.15</v>
      </c>
      <c r="E648" s="6">
        <v>100</v>
      </c>
      <c r="F648" s="6">
        <v>100</v>
      </c>
      <c r="G648" s="6">
        <v>103</v>
      </c>
      <c r="H648" s="6">
        <v>16.7</v>
      </c>
      <c r="J648" s="36">
        <f t="shared" si="74"/>
        <v>0</v>
      </c>
      <c r="K648" s="6">
        <f t="shared" si="75"/>
        <v>3</v>
      </c>
      <c r="L648" s="6">
        <f t="shared" si="76"/>
        <v>15.7</v>
      </c>
      <c r="M648" s="36">
        <f t="shared" si="77"/>
        <v>0.03</v>
      </c>
      <c r="N648" s="82">
        <f t="shared" si="78"/>
        <v>0</v>
      </c>
      <c r="O648" s="82">
        <f t="shared" si="79"/>
        <v>0</v>
      </c>
    </row>
    <row r="649" spans="3:15" hidden="1" x14ac:dyDescent="0.35">
      <c r="C649" s="82">
        <v>1</v>
      </c>
      <c r="D649" s="36">
        <v>0.15</v>
      </c>
      <c r="E649" s="6">
        <v>100</v>
      </c>
      <c r="F649" s="6">
        <v>100</v>
      </c>
      <c r="G649" s="6">
        <v>104</v>
      </c>
      <c r="H649" s="6">
        <v>24</v>
      </c>
      <c r="J649" s="36">
        <f t="shared" si="74"/>
        <v>0</v>
      </c>
      <c r="K649" s="6">
        <f t="shared" si="75"/>
        <v>4</v>
      </c>
      <c r="L649" s="6">
        <f t="shared" si="76"/>
        <v>23</v>
      </c>
      <c r="M649" s="36">
        <f t="shared" si="77"/>
        <v>0.04</v>
      </c>
      <c r="N649" s="82">
        <f t="shared" si="78"/>
        <v>0</v>
      </c>
      <c r="O649" s="82">
        <f t="shared" si="79"/>
        <v>0</v>
      </c>
    </row>
    <row r="650" spans="3:15" hidden="1" x14ac:dyDescent="0.35">
      <c r="C650" s="82">
        <v>1</v>
      </c>
      <c r="D650" s="36">
        <v>0.15</v>
      </c>
      <c r="E650" s="6">
        <v>100</v>
      </c>
      <c r="F650" s="6">
        <v>100</v>
      </c>
      <c r="G650" s="6">
        <v>105</v>
      </c>
      <c r="H650" s="6">
        <v>32.1</v>
      </c>
      <c r="J650" s="36">
        <f t="shared" si="74"/>
        <v>0</v>
      </c>
      <c r="K650" s="6">
        <f t="shared" si="75"/>
        <v>5</v>
      </c>
      <c r="L650" s="6">
        <f t="shared" si="76"/>
        <v>31.1</v>
      </c>
      <c r="M650" s="36">
        <f t="shared" si="77"/>
        <v>0.05</v>
      </c>
      <c r="N650" s="82">
        <f t="shared" si="78"/>
        <v>0</v>
      </c>
      <c r="O650" s="82">
        <f t="shared" si="79"/>
        <v>0</v>
      </c>
    </row>
    <row r="651" spans="3:15" hidden="1" x14ac:dyDescent="0.35">
      <c r="C651" s="82">
        <v>14</v>
      </c>
      <c r="D651" s="36">
        <v>0.15</v>
      </c>
      <c r="E651" s="6">
        <v>100</v>
      </c>
      <c r="F651" s="6">
        <v>100</v>
      </c>
      <c r="G651" s="6">
        <v>101</v>
      </c>
      <c r="H651" s="6">
        <v>26.6</v>
      </c>
      <c r="J651" s="36">
        <f t="shared" si="74"/>
        <v>0</v>
      </c>
      <c r="K651" s="6">
        <f t="shared" si="75"/>
        <v>1</v>
      </c>
      <c r="L651" s="6">
        <f t="shared" si="76"/>
        <v>12.600000000000001</v>
      </c>
      <c r="M651" s="36">
        <f t="shared" si="77"/>
        <v>0.01</v>
      </c>
      <c r="N651" s="82">
        <f t="shared" si="78"/>
        <v>0</v>
      </c>
      <c r="O651" s="82">
        <f t="shared" si="79"/>
        <v>0</v>
      </c>
    </row>
    <row r="652" spans="3:15" hidden="1" x14ac:dyDescent="0.35">
      <c r="C652" s="82">
        <v>14</v>
      </c>
      <c r="D652" s="36">
        <v>0.15</v>
      </c>
      <c r="E652" s="6">
        <v>100</v>
      </c>
      <c r="F652" s="6">
        <v>100</v>
      </c>
      <c r="G652" s="6">
        <v>102</v>
      </c>
      <c r="H652" s="6">
        <v>40.700000000000003</v>
      </c>
      <c r="J652" s="36">
        <f t="shared" si="74"/>
        <v>0</v>
      </c>
      <c r="K652" s="6">
        <f t="shared" si="75"/>
        <v>2</v>
      </c>
      <c r="L652" s="6">
        <f t="shared" si="76"/>
        <v>26.700000000000003</v>
      </c>
      <c r="M652" s="36">
        <f t="shared" si="77"/>
        <v>0.02</v>
      </c>
      <c r="N652" s="82">
        <f t="shared" si="78"/>
        <v>0</v>
      </c>
      <c r="O652" s="82">
        <f t="shared" si="79"/>
        <v>0</v>
      </c>
    </row>
    <row r="653" spans="3:15" hidden="1" x14ac:dyDescent="0.35">
      <c r="C653" s="82">
        <v>14</v>
      </c>
      <c r="D653" s="36">
        <v>0.15</v>
      </c>
      <c r="E653" s="6">
        <v>100</v>
      </c>
      <c r="F653" s="6">
        <v>100</v>
      </c>
      <c r="G653" s="6">
        <v>103</v>
      </c>
      <c r="H653" s="6">
        <v>56</v>
      </c>
      <c r="J653" s="36">
        <f t="shared" si="74"/>
        <v>0</v>
      </c>
      <c r="K653" s="6">
        <f t="shared" si="75"/>
        <v>3</v>
      </c>
      <c r="L653" s="6">
        <f t="shared" si="76"/>
        <v>42</v>
      </c>
      <c r="M653" s="36">
        <f t="shared" si="77"/>
        <v>0.03</v>
      </c>
      <c r="N653" s="82">
        <f t="shared" si="78"/>
        <v>0</v>
      </c>
      <c r="O653" s="82">
        <f t="shared" si="79"/>
        <v>0</v>
      </c>
    </row>
    <row r="654" spans="3:15" hidden="1" x14ac:dyDescent="0.35">
      <c r="C654" s="82">
        <v>14</v>
      </c>
      <c r="D654" s="36">
        <v>0.15</v>
      </c>
      <c r="E654" s="6">
        <v>100</v>
      </c>
      <c r="F654" s="6">
        <v>100</v>
      </c>
      <c r="G654" s="6">
        <v>104</v>
      </c>
      <c r="H654" s="6">
        <v>72.400000000000006</v>
      </c>
      <c r="J654" s="36">
        <f t="shared" si="74"/>
        <v>0</v>
      </c>
      <c r="K654" s="6">
        <f t="shared" si="75"/>
        <v>4</v>
      </c>
      <c r="L654" s="6">
        <f t="shared" si="76"/>
        <v>58.400000000000006</v>
      </c>
      <c r="M654" s="36">
        <f t="shared" si="77"/>
        <v>0.04</v>
      </c>
      <c r="N654" s="82">
        <f t="shared" si="78"/>
        <v>0</v>
      </c>
      <c r="O654" s="82">
        <f t="shared" si="79"/>
        <v>0</v>
      </c>
    </row>
    <row r="655" spans="3:15" hidden="1" x14ac:dyDescent="0.35">
      <c r="C655" s="82">
        <v>14</v>
      </c>
      <c r="D655" s="36">
        <v>0.15</v>
      </c>
      <c r="E655" s="6">
        <v>100</v>
      </c>
      <c r="F655" s="6">
        <v>100</v>
      </c>
      <c r="G655" s="6">
        <v>105</v>
      </c>
      <c r="H655" s="6">
        <v>89.8</v>
      </c>
      <c r="J655" s="36">
        <f t="shared" si="74"/>
        <v>0</v>
      </c>
      <c r="K655" s="6">
        <f t="shared" si="75"/>
        <v>5</v>
      </c>
      <c r="L655" s="6">
        <f t="shared" si="76"/>
        <v>75.8</v>
      </c>
      <c r="M655" s="36">
        <f t="shared" si="77"/>
        <v>0.05</v>
      </c>
      <c r="N655" s="82">
        <f t="shared" si="78"/>
        <v>0</v>
      </c>
      <c r="O655" s="82">
        <f t="shared" si="79"/>
        <v>0</v>
      </c>
    </row>
    <row r="656" spans="3:15" hidden="1" x14ac:dyDescent="0.35">
      <c r="C656" s="82">
        <v>21</v>
      </c>
      <c r="D656" s="36">
        <v>0.15</v>
      </c>
      <c r="E656" s="6">
        <v>100</v>
      </c>
      <c r="F656" s="6">
        <v>100</v>
      </c>
      <c r="G656" s="6">
        <v>101</v>
      </c>
      <c r="H656" s="6">
        <v>36.200000000000003</v>
      </c>
      <c r="J656" s="36">
        <f t="shared" si="74"/>
        <v>0</v>
      </c>
      <c r="K656" s="6">
        <f t="shared" si="75"/>
        <v>1</v>
      </c>
      <c r="L656" s="6">
        <f t="shared" si="76"/>
        <v>15.200000000000003</v>
      </c>
      <c r="M656" s="36">
        <f t="shared" si="77"/>
        <v>0.01</v>
      </c>
      <c r="N656" s="82">
        <f t="shared" si="78"/>
        <v>0</v>
      </c>
      <c r="O656" s="82">
        <f t="shared" si="79"/>
        <v>0</v>
      </c>
    </row>
    <row r="657" spans="3:15" hidden="1" x14ac:dyDescent="0.35">
      <c r="C657" s="82">
        <v>21</v>
      </c>
      <c r="D657" s="36">
        <v>0.15</v>
      </c>
      <c r="E657" s="6">
        <v>100</v>
      </c>
      <c r="F657" s="6">
        <v>100</v>
      </c>
      <c r="G657" s="6">
        <v>102</v>
      </c>
      <c r="H657" s="6">
        <v>52.8</v>
      </c>
      <c r="J657" s="36">
        <f t="shared" si="74"/>
        <v>0</v>
      </c>
      <c r="K657" s="6">
        <f t="shared" si="75"/>
        <v>2</v>
      </c>
      <c r="L657" s="6">
        <f t="shared" si="76"/>
        <v>31.799999999999997</v>
      </c>
      <c r="M657" s="36">
        <f t="shared" si="77"/>
        <v>0.02</v>
      </c>
      <c r="N657" s="82">
        <f t="shared" si="78"/>
        <v>0</v>
      </c>
      <c r="O657" s="82">
        <f t="shared" si="79"/>
        <v>0</v>
      </c>
    </row>
    <row r="658" spans="3:15" hidden="1" x14ac:dyDescent="0.35">
      <c r="C658" s="82">
        <v>21</v>
      </c>
      <c r="D658" s="36">
        <v>0.15</v>
      </c>
      <c r="E658" s="6">
        <v>100</v>
      </c>
      <c r="F658" s="6">
        <v>100</v>
      </c>
      <c r="G658" s="6">
        <v>103</v>
      </c>
      <c r="H658" s="6">
        <v>70.7</v>
      </c>
      <c r="J658" s="36">
        <f t="shared" si="74"/>
        <v>0</v>
      </c>
      <c r="K658" s="6">
        <f t="shared" si="75"/>
        <v>3</v>
      </c>
      <c r="L658" s="6">
        <f t="shared" si="76"/>
        <v>49.7</v>
      </c>
      <c r="M658" s="36">
        <f t="shared" si="77"/>
        <v>0.03</v>
      </c>
      <c r="N658" s="82">
        <f t="shared" si="78"/>
        <v>0</v>
      </c>
      <c r="O658" s="82">
        <f t="shared" si="79"/>
        <v>0</v>
      </c>
    </row>
    <row r="659" spans="3:15" hidden="1" x14ac:dyDescent="0.35">
      <c r="C659" s="82">
        <v>21</v>
      </c>
      <c r="D659" s="36">
        <v>0.15</v>
      </c>
      <c r="E659" s="6">
        <v>100</v>
      </c>
      <c r="F659" s="6">
        <v>100</v>
      </c>
      <c r="G659" s="6">
        <v>104</v>
      </c>
      <c r="H659" s="6">
        <v>89.7</v>
      </c>
      <c r="J659" s="36">
        <f t="shared" si="74"/>
        <v>0</v>
      </c>
      <c r="K659" s="6">
        <f t="shared" si="75"/>
        <v>4</v>
      </c>
      <c r="L659" s="6">
        <f t="shared" si="76"/>
        <v>68.7</v>
      </c>
      <c r="M659" s="36">
        <f t="shared" si="77"/>
        <v>0.04</v>
      </c>
      <c r="N659" s="82">
        <f t="shared" si="78"/>
        <v>0</v>
      </c>
      <c r="O659" s="82">
        <f t="shared" si="79"/>
        <v>0</v>
      </c>
    </row>
    <row r="660" spans="3:15" hidden="1" x14ac:dyDescent="0.35">
      <c r="C660" s="82">
        <v>21</v>
      </c>
      <c r="D660" s="36">
        <v>0.15</v>
      </c>
      <c r="E660" s="6">
        <v>100</v>
      </c>
      <c r="F660" s="6">
        <v>100</v>
      </c>
      <c r="G660" s="6">
        <v>105</v>
      </c>
      <c r="H660" s="6">
        <v>109.7</v>
      </c>
      <c r="J660" s="36">
        <f t="shared" si="74"/>
        <v>0</v>
      </c>
      <c r="K660" s="6">
        <f t="shared" si="75"/>
        <v>5</v>
      </c>
      <c r="L660" s="6">
        <f t="shared" si="76"/>
        <v>88.7</v>
      </c>
      <c r="M660" s="36">
        <f t="shared" si="77"/>
        <v>0.05</v>
      </c>
      <c r="N660" s="82">
        <f t="shared" si="78"/>
        <v>0</v>
      </c>
      <c r="O660" s="82">
        <f t="shared" si="79"/>
        <v>0</v>
      </c>
    </row>
    <row r="661" spans="3:15" hidden="1" x14ac:dyDescent="0.35">
      <c r="C661" s="82">
        <v>21</v>
      </c>
      <c r="D661" s="36">
        <v>0.4</v>
      </c>
      <c r="E661" s="6">
        <v>100</v>
      </c>
      <c r="F661" s="6">
        <v>100</v>
      </c>
      <c r="G661" s="6">
        <v>101</v>
      </c>
      <c r="H661" s="6">
        <v>26.4</v>
      </c>
      <c r="J661" s="36">
        <f t="shared" si="74"/>
        <v>0</v>
      </c>
      <c r="K661" s="6">
        <f t="shared" si="75"/>
        <v>1</v>
      </c>
      <c r="L661" s="6">
        <f t="shared" si="76"/>
        <v>5.3999999999999986</v>
      </c>
      <c r="M661" s="36">
        <f t="shared" si="77"/>
        <v>0.01</v>
      </c>
      <c r="N661" s="82">
        <f t="shared" si="78"/>
        <v>0</v>
      </c>
      <c r="O661" s="82">
        <f t="shared" si="79"/>
        <v>0</v>
      </c>
    </row>
    <row r="662" spans="3:15" hidden="1" x14ac:dyDescent="0.35">
      <c r="C662" s="82">
        <v>21</v>
      </c>
      <c r="D662" s="36">
        <v>0.4</v>
      </c>
      <c r="E662" s="6">
        <v>100</v>
      </c>
      <c r="F662" s="6">
        <v>100</v>
      </c>
      <c r="G662" s="6">
        <v>102</v>
      </c>
      <c r="H662" s="6">
        <v>31.9</v>
      </c>
      <c r="J662" s="36">
        <f t="shared" si="74"/>
        <v>0</v>
      </c>
      <c r="K662" s="6">
        <f t="shared" si="75"/>
        <v>2</v>
      </c>
      <c r="L662" s="6">
        <f t="shared" si="76"/>
        <v>10.899999999999999</v>
      </c>
      <c r="M662" s="36">
        <f t="shared" si="77"/>
        <v>0.02</v>
      </c>
      <c r="N662" s="82">
        <f t="shared" si="78"/>
        <v>0</v>
      </c>
      <c r="O662" s="82">
        <f t="shared" si="79"/>
        <v>0</v>
      </c>
    </row>
    <row r="663" spans="3:15" hidden="1" x14ac:dyDescent="0.35">
      <c r="C663" s="82">
        <v>21</v>
      </c>
      <c r="D663" s="36">
        <v>0.4</v>
      </c>
      <c r="E663" s="6">
        <v>100</v>
      </c>
      <c r="F663" s="6">
        <v>100</v>
      </c>
      <c r="G663" s="6">
        <v>103</v>
      </c>
      <c r="H663" s="6">
        <v>37.6</v>
      </c>
      <c r="J663" s="36">
        <f t="shared" si="74"/>
        <v>0</v>
      </c>
      <c r="K663" s="6">
        <f t="shared" si="75"/>
        <v>3</v>
      </c>
      <c r="L663" s="6">
        <f t="shared" si="76"/>
        <v>16.600000000000001</v>
      </c>
      <c r="M663" s="36">
        <f t="shared" si="77"/>
        <v>0.03</v>
      </c>
      <c r="N663" s="82">
        <f t="shared" si="78"/>
        <v>0</v>
      </c>
      <c r="O663" s="82">
        <f t="shared" si="79"/>
        <v>0</v>
      </c>
    </row>
    <row r="664" spans="3:15" hidden="1" x14ac:dyDescent="0.35">
      <c r="C664" s="82">
        <v>21</v>
      </c>
      <c r="D664" s="36">
        <v>0.4</v>
      </c>
      <c r="E664" s="6">
        <v>100</v>
      </c>
      <c r="F664" s="6">
        <v>100</v>
      </c>
      <c r="G664" s="6">
        <v>104</v>
      </c>
      <c r="H664" s="6">
        <v>43.3</v>
      </c>
      <c r="J664" s="36">
        <f t="shared" si="74"/>
        <v>0</v>
      </c>
      <c r="K664" s="6">
        <f t="shared" si="75"/>
        <v>4</v>
      </c>
      <c r="L664" s="6">
        <f t="shared" si="76"/>
        <v>22.299999999999997</v>
      </c>
      <c r="M664" s="36">
        <f t="shared" si="77"/>
        <v>0.04</v>
      </c>
      <c r="N664" s="82">
        <f t="shared" si="78"/>
        <v>0</v>
      </c>
      <c r="O664" s="82">
        <f t="shared" si="79"/>
        <v>0</v>
      </c>
    </row>
    <row r="665" spans="3:15" hidden="1" x14ac:dyDescent="0.35">
      <c r="C665" s="82">
        <v>21</v>
      </c>
      <c r="D665" s="36">
        <v>0.4</v>
      </c>
      <c r="E665" s="6">
        <v>100</v>
      </c>
      <c r="F665" s="6">
        <v>100</v>
      </c>
      <c r="G665" s="6">
        <v>105</v>
      </c>
      <c r="H665" s="6">
        <v>49.2</v>
      </c>
      <c r="J665" s="36">
        <f t="shared" si="74"/>
        <v>0</v>
      </c>
      <c r="K665" s="6">
        <f t="shared" si="75"/>
        <v>5</v>
      </c>
      <c r="L665" s="6">
        <f t="shared" si="76"/>
        <v>28.200000000000003</v>
      </c>
      <c r="M665" s="36">
        <f t="shared" si="77"/>
        <v>0.05</v>
      </c>
      <c r="N665" s="82">
        <f t="shared" si="78"/>
        <v>0</v>
      </c>
      <c r="O665" s="82">
        <f t="shared" si="79"/>
        <v>0</v>
      </c>
    </row>
    <row r="666" spans="3:15" hidden="1" x14ac:dyDescent="0.35">
      <c r="C666" s="82">
        <v>7</v>
      </c>
      <c r="D666" s="36">
        <v>0.4</v>
      </c>
      <c r="E666" s="6">
        <v>100</v>
      </c>
      <c r="F666" s="6">
        <v>100</v>
      </c>
      <c r="G666" s="6">
        <v>101</v>
      </c>
      <c r="H666" s="6">
        <v>10.199999999999999</v>
      </c>
      <c r="J666" s="36">
        <f t="shared" si="74"/>
        <v>0</v>
      </c>
      <c r="K666" s="6">
        <f t="shared" si="75"/>
        <v>1</v>
      </c>
      <c r="L666" s="6">
        <f t="shared" si="76"/>
        <v>3.1999999999999993</v>
      </c>
      <c r="M666" s="36">
        <f t="shared" si="77"/>
        <v>0.01</v>
      </c>
      <c r="N666" s="82">
        <f t="shared" si="78"/>
        <v>0</v>
      </c>
      <c r="O666" s="82">
        <f t="shared" si="79"/>
        <v>0</v>
      </c>
    </row>
    <row r="667" spans="3:15" hidden="1" x14ac:dyDescent="0.35">
      <c r="C667" s="82">
        <v>7</v>
      </c>
      <c r="D667" s="36">
        <v>0.4</v>
      </c>
      <c r="E667" s="6">
        <v>100</v>
      </c>
      <c r="F667" s="6">
        <v>100</v>
      </c>
      <c r="G667" s="6">
        <v>102</v>
      </c>
      <c r="H667" s="6">
        <v>13.6</v>
      </c>
      <c r="J667" s="36">
        <f t="shared" si="74"/>
        <v>0</v>
      </c>
      <c r="K667" s="6">
        <f t="shared" si="75"/>
        <v>2</v>
      </c>
      <c r="L667" s="6">
        <f t="shared" si="76"/>
        <v>6.6</v>
      </c>
      <c r="M667" s="36">
        <f t="shared" si="77"/>
        <v>0.02</v>
      </c>
      <c r="N667" s="82">
        <f t="shared" si="78"/>
        <v>0</v>
      </c>
      <c r="O667" s="82">
        <f t="shared" si="79"/>
        <v>0</v>
      </c>
    </row>
    <row r="668" spans="3:15" hidden="1" x14ac:dyDescent="0.35">
      <c r="C668" s="82">
        <v>7</v>
      </c>
      <c r="D668" s="36">
        <v>0.4</v>
      </c>
      <c r="E668" s="6">
        <v>100</v>
      </c>
      <c r="F668" s="6">
        <v>100</v>
      </c>
      <c r="G668" s="6">
        <v>103</v>
      </c>
      <c r="H668" s="6">
        <v>17.2</v>
      </c>
      <c r="J668" s="36">
        <f t="shared" si="74"/>
        <v>0</v>
      </c>
      <c r="K668" s="6">
        <f t="shared" si="75"/>
        <v>3</v>
      </c>
      <c r="L668" s="6">
        <f t="shared" si="76"/>
        <v>10.199999999999999</v>
      </c>
      <c r="M668" s="36">
        <f t="shared" si="77"/>
        <v>0.03</v>
      </c>
      <c r="N668" s="82">
        <f t="shared" si="78"/>
        <v>0</v>
      </c>
      <c r="O668" s="82">
        <f t="shared" si="79"/>
        <v>0</v>
      </c>
    </row>
    <row r="669" spans="3:15" hidden="1" x14ac:dyDescent="0.35">
      <c r="C669" s="82">
        <v>7</v>
      </c>
      <c r="D669" s="36">
        <v>0.4</v>
      </c>
      <c r="E669" s="6">
        <v>100</v>
      </c>
      <c r="F669" s="6">
        <v>100</v>
      </c>
      <c r="G669" s="6">
        <v>104</v>
      </c>
      <c r="H669" s="6">
        <v>20.9</v>
      </c>
      <c r="J669" s="36">
        <f t="shared" si="74"/>
        <v>0</v>
      </c>
      <c r="K669" s="6">
        <f t="shared" si="75"/>
        <v>4</v>
      </c>
      <c r="L669" s="6">
        <f t="shared" si="76"/>
        <v>13.899999999999999</v>
      </c>
      <c r="M669" s="36">
        <f t="shared" si="77"/>
        <v>0.04</v>
      </c>
      <c r="N669" s="82">
        <f t="shared" si="78"/>
        <v>0</v>
      </c>
      <c r="O669" s="82">
        <f t="shared" si="79"/>
        <v>0</v>
      </c>
    </row>
    <row r="670" spans="3:15" hidden="1" x14ac:dyDescent="0.35">
      <c r="C670" s="82">
        <v>7</v>
      </c>
      <c r="D670" s="36">
        <v>0.4</v>
      </c>
      <c r="E670" s="6">
        <v>100</v>
      </c>
      <c r="F670" s="6">
        <v>100</v>
      </c>
      <c r="G670" s="6">
        <v>105</v>
      </c>
      <c r="H670" s="6">
        <v>24.7</v>
      </c>
      <c r="J670" s="36">
        <f t="shared" si="74"/>
        <v>0</v>
      </c>
      <c r="K670" s="6">
        <f t="shared" si="75"/>
        <v>5</v>
      </c>
      <c r="L670" s="6">
        <f t="shared" si="76"/>
        <v>17.7</v>
      </c>
      <c r="M670" s="36">
        <f t="shared" si="77"/>
        <v>0.05</v>
      </c>
      <c r="N670" s="82">
        <f t="shared" si="78"/>
        <v>0</v>
      </c>
      <c r="O670" s="82">
        <f t="shared" si="79"/>
        <v>0</v>
      </c>
    </row>
    <row r="671" spans="3:15" hidden="1" x14ac:dyDescent="0.35">
      <c r="C671" s="82">
        <v>14</v>
      </c>
      <c r="D671" s="36">
        <v>0.4</v>
      </c>
      <c r="E671" s="6">
        <v>100</v>
      </c>
      <c r="F671" s="6">
        <v>100</v>
      </c>
      <c r="G671" s="6">
        <v>101</v>
      </c>
      <c r="H671" s="6">
        <v>18.5</v>
      </c>
      <c r="J671" s="36">
        <f t="shared" si="74"/>
        <v>0</v>
      </c>
      <c r="K671" s="6">
        <f t="shared" si="75"/>
        <v>1</v>
      </c>
      <c r="L671" s="6">
        <f t="shared" si="76"/>
        <v>4.5</v>
      </c>
      <c r="M671" s="36">
        <f t="shared" si="77"/>
        <v>0.01</v>
      </c>
      <c r="N671" s="82">
        <f t="shared" si="78"/>
        <v>0</v>
      </c>
      <c r="O671" s="82">
        <f t="shared" si="79"/>
        <v>0</v>
      </c>
    </row>
    <row r="672" spans="3:15" hidden="1" x14ac:dyDescent="0.35">
      <c r="C672" s="82">
        <v>14</v>
      </c>
      <c r="D672" s="36">
        <v>0.4</v>
      </c>
      <c r="E672" s="6">
        <v>100</v>
      </c>
      <c r="F672" s="6">
        <v>100</v>
      </c>
      <c r="G672" s="6">
        <v>102</v>
      </c>
      <c r="H672" s="6">
        <v>23.1</v>
      </c>
      <c r="J672" s="36">
        <f t="shared" si="74"/>
        <v>0</v>
      </c>
      <c r="K672" s="6">
        <f t="shared" si="75"/>
        <v>2</v>
      </c>
      <c r="L672" s="6">
        <f t="shared" si="76"/>
        <v>9.1000000000000014</v>
      </c>
      <c r="M672" s="36">
        <f t="shared" si="77"/>
        <v>0.02</v>
      </c>
      <c r="N672" s="82">
        <f t="shared" si="78"/>
        <v>0</v>
      </c>
      <c r="O672" s="82">
        <f t="shared" si="79"/>
        <v>0</v>
      </c>
    </row>
    <row r="673" spans="3:15" hidden="1" x14ac:dyDescent="0.35">
      <c r="C673" s="82">
        <v>14</v>
      </c>
      <c r="D673" s="36">
        <v>0.4</v>
      </c>
      <c r="E673" s="6">
        <v>100</v>
      </c>
      <c r="F673" s="6">
        <v>100</v>
      </c>
      <c r="G673" s="6">
        <v>103</v>
      </c>
      <c r="H673" s="6">
        <v>27.8</v>
      </c>
      <c r="J673" s="36">
        <f t="shared" si="74"/>
        <v>0</v>
      </c>
      <c r="K673" s="6">
        <f t="shared" si="75"/>
        <v>3</v>
      </c>
      <c r="L673" s="6">
        <f t="shared" si="76"/>
        <v>13.8</v>
      </c>
      <c r="M673" s="36">
        <f t="shared" si="77"/>
        <v>0.03</v>
      </c>
      <c r="N673" s="82">
        <f t="shared" si="78"/>
        <v>0</v>
      </c>
      <c r="O673" s="82">
        <f t="shared" si="79"/>
        <v>0</v>
      </c>
    </row>
    <row r="674" spans="3:15" hidden="1" x14ac:dyDescent="0.35">
      <c r="C674" s="82">
        <v>14</v>
      </c>
      <c r="D674" s="36">
        <v>0.4</v>
      </c>
      <c r="E674" s="6">
        <v>100</v>
      </c>
      <c r="F674" s="6">
        <v>100</v>
      </c>
      <c r="G674" s="6">
        <v>104</v>
      </c>
      <c r="H674" s="6">
        <v>32.700000000000003</v>
      </c>
      <c r="J674" s="36">
        <f t="shared" si="74"/>
        <v>0</v>
      </c>
      <c r="K674" s="6">
        <f t="shared" si="75"/>
        <v>4</v>
      </c>
      <c r="L674" s="6">
        <f t="shared" si="76"/>
        <v>18.700000000000003</v>
      </c>
      <c r="M674" s="36">
        <f t="shared" si="77"/>
        <v>0.04</v>
      </c>
      <c r="N674" s="82">
        <f t="shared" si="78"/>
        <v>0</v>
      </c>
      <c r="O674" s="82">
        <f t="shared" si="79"/>
        <v>0</v>
      </c>
    </row>
    <row r="675" spans="3:15" hidden="1" x14ac:dyDescent="0.35">
      <c r="C675" s="82">
        <v>14</v>
      </c>
      <c r="D675" s="36">
        <v>0.4</v>
      </c>
      <c r="E675" s="6">
        <v>100</v>
      </c>
      <c r="F675" s="6">
        <v>100</v>
      </c>
      <c r="G675" s="6">
        <v>105</v>
      </c>
      <c r="H675" s="6">
        <v>37.700000000000003</v>
      </c>
      <c r="J675" s="36">
        <f t="shared" si="74"/>
        <v>0</v>
      </c>
      <c r="K675" s="6">
        <f t="shared" si="75"/>
        <v>5</v>
      </c>
      <c r="L675" s="6">
        <f t="shared" si="76"/>
        <v>23.700000000000003</v>
      </c>
      <c r="M675" s="36">
        <f t="shared" si="77"/>
        <v>0.05</v>
      </c>
      <c r="N675" s="82">
        <f t="shared" si="78"/>
        <v>0</v>
      </c>
      <c r="O675" s="82">
        <f t="shared" si="79"/>
        <v>0</v>
      </c>
    </row>
    <row r="676" spans="3:15" hidden="1" x14ac:dyDescent="0.35">
      <c r="C676" s="82">
        <v>1</v>
      </c>
      <c r="D676" s="36">
        <v>0.4</v>
      </c>
      <c r="E676" s="6">
        <v>100</v>
      </c>
      <c r="F676" s="6">
        <v>100</v>
      </c>
      <c r="G676" s="6">
        <v>101</v>
      </c>
      <c r="H676" s="6">
        <v>2.4</v>
      </c>
      <c r="J676" s="36">
        <f t="shared" si="74"/>
        <v>0</v>
      </c>
      <c r="K676" s="6">
        <f t="shared" si="75"/>
        <v>1</v>
      </c>
      <c r="L676" s="6">
        <f t="shared" si="76"/>
        <v>1.4</v>
      </c>
      <c r="M676" s="36">
        <f t="shared" si="77"/>
        <v>0.01</v>
      </c>
      <c r="N676" s="82">
        <f t="shared" si="78"/>
        <v>0</v>
      </c>
      <c r="O676" s="82">
        <f t="shared" si="79"/>
        <v>0</v>
      </c>
    </row>
    <row r="677" spans="3:15" hidden="1" x14ac:dyDescent="0.35">
      <c r="C677" s="82">
        <v>1</v>
      </c>
      <c r="D677" s="36">
        <v>0.4</v>
      </c>
      <c r="E677" s="6">
        <v>100</v>
      </c>
      <c r="F677" s="6">
        <v>100</v>
      </c>
      <c r="G677" s="6">
        <v>102</v>
      </c>
      <c r="H677" s="6">
        <v>3.9</v>
      </c>
      <c r="J677" s="36">
        <f t="shared" si="74"/>
        <v>0</v>
      </c>
      <c r="K677" s="6">
        <f t="shared" si="75"/>
        <v>2</v>
      </c>
      <c r="L677" s="6">
        <f t="shared" si="76"/>
        <v>2.9</v>
      </c>
      <c r="M677" s="36">
        <f t="shared" si="77"/>
        <v>0.02</v>
      </c>
      <c r="N677" s="82">
        <f t="shared" si="78"/>
        <v>0</v>
      </c>
      <c r="O677" s="82">
        <f t="shared" si="79"/>
        <v>0</v>
      </c>
    </row>
    <row r="678" spans="3:15" hidden="1" x14ac:dyDescent="0.35">
      <c r="C678" s="82">
        <v>1</v>
      </c>
      <c r="D678" s="36">
        <v>0.4</v>
      </c>
      <c r="E678" s="6">
        <v>100</v>
      </c>
      <c r="F678" s="6">
        <v>100</v>
      </c>
      <c r="G678" s="6">
        <v>103</v>
      </c>
      <c r="H678" s="6">
        <v>5.5</v>
      </c>
      <c r="J678" s="36">
        <f t="shared" si="74"/>
        <v>0</v>
      </c>
      <c r="K678" s="6">
        <f t="shared" si="75"/>
        <v>3</v>
      </c>
      <c r="L678" s="6">
        <f t="shared" si="76"/>
        <v>4.5</v>
      </c>
      <c r="M678" s="36">
        <f t="shared" si="77"/>
        <v>0.03</v>
      </c>
      <c r="N678" s="82">
        <f t="shared" si="78"/>
        <v>0</v>
      </c>
      <c r="O678" s="82">
        <f t="shared" si="79"/>
        <v>0</v>
      </c>
    </row>
    <row r="679" spans="3:15" hidden="1" x14ac:dyDescent="0.35">
      <c r="C679" s="82">
        <v>1</v>
      </c>
      <c r="D679" s="36">
        <v>0.4</v>
      </c>
      <c r="E679" s="6">
        <v>100</v>
      </c>
      <c r="F679" s="6">
        <v>100</v>
      </c>
      <c r="G679" s="6">
        <v>104</v>
      </c>
      <c r="H679" s="6">
        <v>7.4</v>
      </c>
      <c r="J679" s="36">
        <f t="shared" si="74"/>
        <v>0</v>
      </c>
      <c r="K679" s="6">
        <f t="shared" si="75"/>
        <v>4</v>
      </c>
      <c r="L679" s="6">
        <f t="shared" si="76"/>
        <v>6.4</v>
      </c>
      <c r="M679" s="36">
        <f t="shared" si="77"/>
        <v>0.04</v>
      </c>
      <c r="N679" s="82">
        <f t="shared" si="78"/>
        <v>0</v>
      </c>
      <c r="O679" s="82">
        <f t="shared" si="79"/>
        <v>0</v>
      </c>
    </row>
    <row r="680" spans="3:15" hidden="1" x14ac:dyDescent="0.35">
      <c r="C680" s="82">
        <v>1</v>
      </c>
      <c r="D680" s="36">
        <v>0.4</v>
      </c>
      <c r="E680" s="6">
        <v>100</v>
      </c>
      <c r="F680" s="6">
        <v>100</v>
      </c>
      <c r="G680" s="6">
        <v>105</v>
      </c>
      <c r="H680" s="6">
        <v>9.3000000000000007</v>
      </c>
      <c r="J680" s="36">
        <f t="shared" si="74"/>
        <v>0</v>
      </c>
      <c r="K680" s="6">
        <f t="shared" si="75"/>
        <v>5</v>
      </c>
      <c r="L680" s="6">
        <f t="shared" si="76"/>
        <v>8.3000000000000007</v>
      </c>
      <c r="M680" s="36">
        <f t="shared" si="77"/>
        <v>0.05</v>
      </c>
      <c r="N680" s="82">
        <f t="shared" si="78"/>
        <v>0</v>
      </c>
      <c r="O680" s="82">
        <f t="shared" si="79"/>
        <v>0</v>
      </c>
    </row>
    <row r="681" spans="3:15" hidden="1" x14ac:dyDescent="0.35">
      <c r="C681" s="82">
        <v>1</v>
      </c>
      <c r="D681" s="36">
        <v>0.5</v>
      </c>
      <c r="E681" s="6">
        <v>100</v>
      </c>
      <c r="F681" s="6">
        <v>100</v>
      </c>
      <c r="G681" s="6">
        <v>101</v>
      </c>
      <c r="H681" s="6">
        <v>2.1</v>
      </c>
      <c r="J681" s="36">
        <f t="shared" si="74"/>
        <v>0</v>
      </c>
      <c r="K681" s="6">
        <f t="shared" si="75"/>
        <v>1</v>
      </c>
      <c r="L681" s="6">
        <f t="shared" si="76"/>
        <v>1.1000000000000001</v>
      </c>
      <c r="M681" s="36">
        <f t="shared" si="77"/>
        <v>0.01</v>
      </c>
      <c r="N681" s="82">
        <f t="shared" si="78"/>
        <v>0</v>
      </c>
      <c r="O681" s="82">
        <f t="shared" si="79"/>
        <v>0</v>
      </c>
    </row>
    <row r="682" spans="3:15" hidden="1" x14ac:dyDescent="0.35">
      <c r="C682" s="82">
        <v>1</v>
      </c>
      <c r="D682" s="36">
        <v>0.5</v>
      </c>
      <c r="E682" s="6">
        <v>100</v>
      </c>
      <c r="F682" s="6">
        <v>100</v>
      </c>
      <c r="G682" s="6">
        <v>102</v>
      </c>
      <c r="H682" s="6">
        <v>3.2</v>
      </c>
      <c r="J682" s="36">
        <f t="shared" si="74"/>
        <v>0</v>
      </c>
      <c r="K682" s="6">
        <f t="shared" si="75"/>
        <v>2</v>
      </c>
      <c r="L682" s="6">
        <f t="shared" si="76"/>
        <v>2.2000000000000002</v>
      </c>
      <c r="M682" s="36">
        <f t="shared" si="77"/>
        <v>0.02</v>
      </c>
      <c r="N682" s="82">
        <f t="shared" si="78"/>
        <v>0</v>
      </c>
      <c r="O682" s="82">
        <f t="shared" si="79"/>
        <v>0</v>
      </c>
    </row>
    <row r="683" spans="3:15" hidden="1" x14ac:dyDescent="0.35">
      <c r="C683" s="82">
        <v>1</v>
      </c>
      <c r="D683" s="36">
        <v>0.5</v>
      </c>
      <c r="E683" s="6">
        <v>100</v>
      </c>
      <c r="F683" s="6">
        <v>100</v>
      </c>
      <c r="G683" s="6">
        <v>103</v>
      </c>
      <c r="H683" s="6">
        <v>4.5</v>
      </c>
      <c r="J683" s="36">
        <f t="shared" si="74"/>
        <v>0</v>
      </c>
      <c r="K683" s="6">
        <f t="shared" si="75"/>
        <v>3</v>
      </c>
      <c r="L683" s="6">
        <f t="shared" si="76"/>
        <v>3.5</v>
      </c>
      <c r="M683" s="36">
        <f t="shared" si="77"/>
        <v>0.03</v>
      </c>
      <c r="N683" s="82">
        <f t="shared" si="78"/>
        <v>0</v>
      </c>
      <c r="O683" s="82">
        <f t="shared" si="79"/>
        <v>0</v>
      </c>
    </row>
    <row r="684" spans="3:15" hidden="1" x14ac:dyDescent="0.35">
      <c r="C684" s="82">
        <v>1</v>
      </c>
      <c r="D684" s="36">
        <v>0.5</v>
      </c>
      <c r="E684" s="6">
        <v>100</v>
      </c>
      <c r="F684" s="6">
        <v>100</v>
      </c>
      <c r="G684" s="6">
        <v>104</v>
      </c>
      <c r="H684" s="6">
        <v>5.8</v>
      </c>
      <c r="J684" s="36">
        <f t="shared" si="74"/>
        <v>0</v>
      </c>
      <c r="K684" s="6">
        <f t="shared" si="75"/>
        <v>4</v>
      </c>
      <c r="L684" s="6">
        <f t="shared" si="76"/>
        <v>4.8</v>
      </c>
      <c r="M684" s="36">
        <f t="shared" si="77"/>
        <v>0.04</v>
      </c>
      <c r="N684" s="82">
        <f t="shared" si="78"/>
        <v>0</v>
      </c>
      <c r="O684" s="82">
        <f t="shared" si="79"/>
        <v>0</v>
      </c>
    </row>
    <row r="685" spans="3:15" hidden="1" x14ac:dyDescent="0.35">
      <c r="C685" s="82">
        <v>1</v>
      </c>
      <c r="D685" s="36">
        <v>0.5</v>
      </c>
      <c r="E685" s="6">
        <v>100</v>
      </c>
      <c r="F685" s="6">
        <v>100</v>
      </c>
      <c r="G685" s="6">
        <v>105</v>
      </c>
      <c r="H685" s="6">
        <v>7.3</v>
      </c>
      <c r="J685" s="36">
        <f t="shared" si="74"/>
        <v>0</v>
      </c>
      <c r="K685" s="6">
        <f t="shared" si="75"/>
        <v>5</v>
      </c>
      <c r="L685" s="6">
        <f t="shared" si="76"/>
        <v>6.3</v>
      </c>
      <c r="M685" s="36">
        <f t="shared" si="77"/>
        <v>0.05</v>
      </c>
      <c r="N685" s="82">
        <f t="shared" si="78"/>
        <v>0</v>
      </c>
      <c r="O685" s="82">
        <f t="shared" si="79"/>
        <v>0</v>
      </c>
    </row>
    <row r="686" spans="3:15" hidden="1" x14ac:dyDescent="0.35">
      <c r="C686" s="82">
        <v>7</v>
      </c>
      <c r="D686" s="36">
        <v>0.5</v>
      </c>
      <c r="E686" s="6">
        <v>100</v>
      </c>
      <c r="F686" s="6">
        <v>100</v>
      </c>
      <c r="G686" s="6">
        <v>101</v>
      </c>
      <c r="H686" s="6">
        <v>9.6</v>
      </c>
      <c r="J686" s="36">
        <f t="shared" si="74"/>
        <v>0</v>
      </c>
      <c r="K686" s="6">
        <f t="shared" si="75"/>
        <v>1</v>
      </c>
      <c r="L686" s="6">
        <f t="shared" si="76"/>
        <v>2.5999999999999996</v>
      </c>
      <c r="M686" s="36">
        <f t="shared" si="77"/>
        <v>0.01</v>
      </c>
      <c r="N686" s="82">
        <f t="shared" si="78"/>
        <v>0</v>
      </c>
      <c r="O686" s="82">
        <f t="shared" si="79"/>
        <v>0</v>
      </c>
    </row>
    <row r="687" spans="3:15" hidden="1" x14ac:dyDescent="0.35">
      <c r="C687" s="82">
        <v>7</v>
      </c>
      <c r="D687" s="36">
        <v>0.5</v>
      </c>
      <c r="E687" s="6">
        <v>100</v>
      </c>
      <c r="F687" s="6">
        <v>100</v>
      </c>
      <c r="G687" s="6">
        <v>102</v>
      </c>
      <c r="H687" s="6">
        <v>12.2</v>
      </c>
      <c r="J687" s="36">
        <f t="shared" si="74"/>
        <v>0</v>
      </c>
      <c r="K687" s="6">
        <f t="shared" si="75"/>
        <v>2</v>
      </c>
      <c r="L687" s="6">
        <f t="shared" si="76"/>
        <v>5.1999999999999993</v>
      </c>
      <c r="M687" s="36">
        <f t="shared" si="77"/>
        <v>0.02</v>
      </c>
      <c r="N687" s="82">
        <f t="shared" si="78"/>
        <v>0</v>
      </c>
      <c r="O687" s="82">
        <f t="shared" si="79"/>
        <v>0</v>
      </c>
    </row>
    <row r="688" spans="3:15" hidden="1" x14ac:dyDescent="0.35">
      <c r="C688" s="82">
        <v>7</v>
      </c>
      <c r="D688" s="36">
        <v>0.5</v>
      </c>
      <c r="E688" s="6">
        <v>100</v>
      </c>
      <c r="F688" s="6">
        <v>100</v>
      </c>
      <c r="G688" s="6">
        <v>103</v>
      </c>
      <c r="H688" s="6">
        <v>14.9</v>
      </c>
      <c r="J688" s="36">
        <f t="shared" si="74"/>
        <v>0</v>
      </c>
      <c r="K688" s="6">
        <f t="shared" si="75"/>
        <v>3</v>
      </c>
      <c r="L688" s="6">
        <f t="shared" si="76"/>
        <v>7.9</v>
      </c>
      <c r="M688" s="36">
        <f t="shared" si="77"/>
        <v>0.03</v>
      </c>
      <c r="N688" s="82">
        <f t="shared" si="78"/>
        <v>0</v>
      </c>
      <c r="O688" s="82">
        <f t="shared" si="79"/>
        <v>0</v>
      </c>
    </row>
    <row r="689" spans="3:15" hidden="1" x14ac:dyDescent="0.35">
      <c r="C689" s="82">
        <v>7</v>
      </c>
      <c r="D689" s="36">
        <v>0.5</v>
      </c>
      <c r="E689" s="6">
        <v>100</v>
      </c>
      <c r="F689" s="6">
        <v>100</v>
      </c>
      <c r="G689" s="6">
        <v>104</v>
      </c>
      <c r="H689" s="6">
        <v>17.8</v>
      </c>
      <c r="J689" s="36">
        <f t="shared" si="74"/>
        <v>0</v>
      </c>
      <c r="K689" s="6">
        <f t="shared" si="75"/>
        <v>4</v>
      </c>
      <c r="L689" s="6">
        <f t="shared" si="76"/>
        <v>10.8</v>
      </c>
      <c r="M689" s="36">
        <f t="shared" si="77"/>
        <v>0.04</v>
      </c>
      <c r="N689" s="82">
        <f t="shared" si="78"/>
        <v>0</v>
      </c>
      <c r="O689" s="82">
        <f t="shared" si="79"/>
        <v>0</v>
      </c>
    </row>
    <row r="690" spans="3:15" hidden="1" x14ac:dyDescent="0.35">
      <c r="C690" s="82">
        <v>7</v>
      </c>
      <c r="D690" s="36">
        <v>0.5</v>
      </c>
      <c r="E690" s="6">
        <v>100</v>
      </c>
      <c r="F690" s="6">
        <v>100</v>
      </c>
      <c r="G690" s="6">
        <v>105</v>
      </c>
      <c r="H690" s="6">
        <v>20.7</v>
      </c>
      <c r="J690" s="36">
        <f t="shared" si="74"/>
        <v>0</v>
      </c>
      <c r="K690" s="6">
        <f t="shared" si="75"/>
        <v>5</v>
      </c>
      <c r="L690" s="6">
        <f t="shared" si="76"/>
        <v>13.7</v>
      </c>
      <c r="M690" s="36">
        <f t="shared" si="77"/>
        <v>0.05</v>
      </c>
      <c r="N690" s="82">
        <f t="shared" si="78"/>
        <v>0</v>
      </c>
      <c r="O690" s="82">
        <f t="shared" si="79"/>
        <v>0</v>
      </c>
    </row>
    <row r="691" spans="3:15" hidden="1" x14ac:dyDescent="0.35">
      <c r="C691" s="82">
        <v>14</v>
      </c>
      <c r="D691" s="36">
        <v>0.5</v>
      </c>
      <c r="E691" s="6">
        <v>100</v>
      </c>
      <c r="F691" s="6">
        <v>100</v>
      </c>
      <c r="G691" s="6">
        <v>101</v>
      </c>
      <c r="H691" s="6">
        <v>17.5</v>
      </c>
      <c r="J691" s="36">
        <f t="shared" si="74"/>
        <v>0</v>
      </c>
      <c r="K691" s="6">
        <f t="shared" si="75"/>
        <v>1</v>
      </c>
      <c r="L691" s="6">
        <f t="shared" si="76"/>
        <v>3.5</v>
      </c>
      <c r="M691" s="36">
        <f t="shared" si="77"/>
        <v>0.01</v>
      </c>
      <c r="N691" s="82">
        <f t="shared" si="78"/>
        <v>0</v>
      </c>
      <c r="O691" s="82">
        <f t="shared" si="79"/>
        <v>0</v>
      </c>
    </row>
    <row r="692" spans="3:15" hidden="1" x14ac:dyDescent="0.35">
      <c r="C692" s="82">
        <v>14</v>
      </c>
      <c r="D692" s="36">
        <v>0.5</v>
      </c>
      <c r="E692" s="6">
        <v>100</v>
      </c>
      <c r="F692" s="6">
        <v>100</v>
      </c>
      <c r="G692" s="6">
        <v>102</v>
      </c>
      <c r="H692" s="6">
        <v>21.1</v>
      </c>
      <c r="J692" s="36">
        <f t="shared" si="74"/>
        <v>0</v>
      </c>
      <c r="K692" s="6">
        <f t="shared" si="75"/>
        <v>2</v>
      </c>
      <c r="L692" s="6">
        <f t="shared" si="76"/>
        <v>7.1000000000000014</v>
      </c>
      <c r="M692" s="36">
        <f t="shared" si="77"/>
        <v>0.02</v>
      </c>
      <c r="N692" s="82">
        <f t="shared" si="78"/>
        <v>0</v>
      </c>
      <c r="O692" s="82">
        <f t="shared" si="79"/>
        <v>0</v>
      </c>
    </row>
    <row r="693" spans="3:15" hidden="1" x14ac:dyDescent="0.35">
      <c r="C693" s="82">
        <v>14</v>
      </c>
      <c r="D693" s="36">
        <v>0.5</v>
      </c>
      <c r="E693" s="6">
        <v>100</v>
      </c>
      <c r="F693" s="6">
        <v>100</v>
      </c>
      <c r="G693" s="6">
        <v>103</v>
      </c>
      <c r="H693" s="6">
        <v>24.8</v>
      </c>
      <c r="J693" s="36">
        <f t="shared" si="74"/>
        <v>0</v>
      </c>
      <c r="K693" s="6">
        <f t="shared" si="75"/>
        <v>3</v>
      </c>
      <c r="L693" s="6">
        <f t="shared" si="76"/>
        <v>10.8</v>
      </c>
      <c r="M693" s="36">
        <f t="shared" si="77"/>
        <v>0.03</v>
      </c>
      <c r="N693" s="82">
        <f t="shared" si="78"/>
        <v>0</v>
      </c>
      <c r="O693" s="82">
        <f t="shared" si="79"/>
        <v>0</v>
      </c>
    </row>
    <row r="694" spans="3:15" hidden="1" x14ac:dyDescent="0.35">
      <c r="C694" s="82">
        <v>14</v>
      </c>
      <c r="D694" s="36">
        <v>0.5</v>
      </c>
      <c r="E694" s="6">
        <v>100</v>
      </c>
      <c r="F694" s="6">
        <v>100</v>
      </c>
      <c r="G694" s="6">
        <v>104</v>
      </c>
      <c r="H694" s="6">
        <v>28.6</v>
      </c>
      <c r="J694" s="36">
        <f t="shared" si="74"/>
        <v>0</v>
      </c>
      <c r="K694" s="6">
        <f t="shared" si="75"/>
        <v>4</v>
      </c>
      <c r="L694" s="6">
        <f t="shared" si="76"/>
        <v>14.600000000000001</v>
      </c>
      <c r="M694" s="36">
        <f t="shared" si="77"/>
        <v>0.04</v>
      </c>
      <c r="N694" s="82">
        <f t="shared" si="78"/>
        <v>0</v>
      </c>
      <c r="O694" s="82">
        <f t="shared" si="79"/>
        <v>0</v>
      </c>
    </row>
    <row r="695" spans="3:15" hidden="1" x14ac:dyDescent="0.35">
      <c r="C695" s="82">
        <v>14</v>
      </c>
      <c r="D695" s="36">
        <v>0.5</v>
      </c>
      <c r="E695" s="6">
        <v>100</v>
      </c>
      <c r="F695" s="6">
        <v>100</v>
      </c>
      <c r="G695" s="6">
        <v>105</v>
      </c>
      <c r="H695" s="6">
        <v>32.4</v>
      </c>
      <c r="J695" s="36">
        <f t="shared" si="74"/>
        <v>0</v>
      </c>
      <c r="K695" s="6">
        <f t="shared" si="75"/>
        <v>5</v>
      </c>
      <c r="L695" s="6">
        <f t="shared" si="76"/>
        <v>18.399999999999999</v>
      </c>
      <c r="M695" s="36">
        <f t="shared" si="77"/>
        <v>0.05</v>
      </c>
      <c r="N695" s="82">
        <f t="shared" si="78"/>
        <v>0</v>
      </c>
      <c r="O695" s="82">
        <f t="shared" si="79"/>
        <v>0</v>
      </c>
    </row>
    <row r="696" spans="3:15" hidden="1" x14ac:dyDescent="0.35">
      <c r="C696" s="82">
        <v>21</v>
      </c>
      <c r="D696" s="36">
        <v>0.5</v>
      </c>
      <c r="E696" s="6">
        <v>100</v>
      </c>
      <c r="F696" s="6">
        <v>100</v>
      </c>
      <c r="G696" s="6">
        <v>101</v>
      </c>
      <c r="H696" s="6">
        <v>25.3</v>
      </c>
      <c r="J696" s="36">
        <f t="shared" si="74"/>
        <v>0</v>
      </c>
      <c r="K696" s="6">
        <f t="shared" si="75"/>
        <v>1</v>
      </c>
      <c r="L696" s="6">
        <f t="shared" si="76"/>
        <v>4.3000000000000007</v>
      </c>
      <c r="M696" s="36">
        <f t="shared" si="77"/>
        <v>0.01</v>
      </c>
      <c r="N696" s="82">
        <f t="shared" si="78"/>
        <v>0</v>
      </c>
      <c r="O696" s="82">
        <f t="shared" si="79"/>
        <v>0</v>
      </c>
    </row>
    <row r="697" spans="3:15" hidden="1" x14ac:dyDescent="0.35">
      <c r="C697" s="82">
        <v>21</v>
      </c>
      <c r="D697" s="36">
        <v>0.5</v>
      </c>
      <c r="E697" s="6">
        <v>100</v>
      </c>
      <c r="F697" s="6">
        <v>100</v>
      </c>
      <c r="G697" s="6">
        <v>102</v>
      </c>
      <c r="H697" s="6">
        <v>29.6</v>
      </c>
      <c r="J697" s="36">
        <f t="shared" si="74"/>
        <v>0</v>
      </c>
      <c r="K697" s="6">
        <f t="shared" si="75"/>
        <v>2</v>
      </c>
      <c r="L697" s="6">
        <f t="shared" si="76"/>
        <v>8.6000000000000014</v>
      </c>
      <c r="M697" s="36">
        <f t="shared" si="77"/>
        <v>0.02</v>
      </c>
      <c r="N697" s="82">
        <f t="shared" si="78"/>
        <v>0</v>
      </c>
      <c r="O697" s="82">
        <f t="shared" si="79"/>
        <v>0</v>
      </c>
    </row>
    <row r="698" spans="3:15" hidden="1" x14ac:dyDescent="0.35">
      <c r="C698" s="82">
        <v>21</v>
      </c>
      <c r="D698" s="36">
        <v>0.5</v>
      </c>
      <c r="E698" s="6">
        <v>100</v>
      </c>
      <c r="F698" s="6">
        <v>100</v>
      </c>
      <c r="G698" s="6">
        <v>103</v>
      </c>
      <c r="H698" s="6">
        <v>34</v>
      </c>
      <c r="J698" s="36">
        <f t="shared" si="74"/>
        <v>0</v>
      </c>
      <c r="K698" s="6">
        <f t="shared" si="75"/>
        <v>3</v>
      </c>
      <c r="L698" s="6">
        <f t="shared" si="76"/>
        <v>13</v>
      </c>
      <c r="M698" s="36">
        <f t="shared" si="77"/>
        <v>0.03</v>
      </c>
      <c r="N698" s="82">
        <f t="shared" si="78"/>
        <v>0</v>
      </c>
      <c r="O698" s="82">
        <f t="shared" si="79"/>
        <v>0</v>
      </c>
    </row>
    <row r="699" spans="3:15" hidden="1" x14ac:dyDescent="0.35">
      <c r="C699" s="82">
        <v>21</v>
      </c>
      <c r="D699" s="36">
        <v>0.5</v>
      </c>
      <c r="E699" s="6">
        <v>100</v>
      </c>
      <c r="F699" s="6">
        <v>100</v>
      </c>
      <c r="G699" s="6">
        <v>104</v>
      </c>
      <c r="H699" s="6">
        <v>38.4</v>
      </c>
      <c r="J699" s="36">
        <f t="shared" si="74"/>
        <v>0</v>
      </c>
      <c r="K699" s="6">
        <f t="shared" si="75"/>
        <v>4</v>
      </c>
      <c r="L699" s="6">
        <f t="shared" si="76"/>
        <v>17.399999999999999</v>
      </c>
      <c r="M699" s="36">
        <f t="shared" si="77"/>
        <v>0.04</v>
      </c>
      <c r="N699" s="82">
        <f t="shared" si="78"/>
        <v>0</v>
      </c>
      <c r="O699" s="82">
        <f t="shared" si="79"/>
        <v>0</v>
      </c>
    </row>
    <row r="700" spans="3:15" hidden="1" x14ac:dyDescent="0.35">
      <c r="C700" s="82">
        <v>21</v>
      </c>
      <c r="D700" s="36">
        <v>0.5</v>
      </c>
      <c r="E700" s="6">
        <v>100</v>
      </c>
      <c r="F700" s="6">
        <v>100</v>
      </c>
      <c r="G700" s="6">
        <v>105</v>
      </c>
      <c r="H700" s="6">
        <v>42.9</v>
      </c>
      <c r="J700" s="36">
        <f t="shared" si="74"/>
        <v>0</v>
      </c>
      <c r="K700" s="6">
        <f t="shared" si="75"/>
        <v>5</v>
      </c>
      <c r="L700" s="6">
        <f t="shared" si="76"/>
        <v>21.9</v>
      </c>
      <c r="M700" s="36">
        <f t="shared" si="77"/>
        <v>0.05</v>
      </c>
      <c r="N700" s="82">
        <f t="shared" si="78"/>
        <v>0</v>
      </c>
      <c r="O700" s="82">
        <f t="shared" si="79"/>
        <v>0</v>
      </c>
    </row>
  </sheetData>
  <autoFilter ref="C16:O700" xr:uid="{00000000-0009-0000-0000-00000A000000}">
    <filterColumn colId="0">
      <filters>
        <filter val="7"/>
      </filters>
    </filterColumn>
    <filterColumn colId="1">
      <filters>
        <filter val="25%"/>
      </filters>
    </filterColumn>
    <filterColumn colId="7">
      <filters>
        <filter val="0%"/>
        <filter val="1%"/>
        <filter val="2%"/>
        <filter val="3%"/>
        <filter val="4%"/>
        <filter val="5%"/>
      </filters>
    </filterColumn>
  </autoFilter>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C2:M29"/>
  <sheetViews>
    <sheetView topLeftCell="C1" workbookViewId="0">
      <pane xSplit="2" ySplit="5" topLeftCell="E6" activePane="bottomRight" state="frozen"/>
      <selection activeCell="C1" sqref="C1"/>
      <selection pane="topRight" activeCell="E1" sqref="E1"/>
      <selection pane="bottomLeft" activeCell="C6" sqref="C6"/>
      <selection pane="bottomRight" activeCell="E5" sqref="E5"/>
    </sheetView>
  </sheetViews>
  <sheetFormatPr defaultRowHeight="14.5" x14ac:dyDescent="0.35"/>
  <cols>
    <col min="3" max="3" width="14.453125" bestFit="1" customWidth="1"/>
    <col min="4" max="4" width="34.81640625" bestFit="1" customWidth="1"/>
    <col min="5" max="5" width="20.453125" style="82" bestFit="1" customWidth="1"/>
    <col min="7" max="7" width="34.81640625" bestFit="1" customWidth="1"/>
    <col min="8" max="8" width="20.453125" bestFit="1" customWidth="1"/>
  </cols>
  <sheetData>
    <row r="2" spans="3:13" ht="18.5" x14ac:dyDescent="0.45">
      <c r="D2" s="291" t="s">
        <v>301</v>
      </c>
      <c r="E2" s="291"/>
      <c r="F2" s="291"/>
      <c r="G2" s="291"/>
      <c r="H2" s="291"/>
      <c r="I2" s="291"/>
      <c r="J2" s="291"/>
      <c r="K2" s="291"/>
      <c r="L2" s="291"/>
      <c r="M2" s="291"/>
    </row>
    <row r="4" spans="3:13" x14ac:dyDescent="0.35">
      <c r="I4" t="s">
        <v>341</v>
      </c>
      <c r="J4" t="s">
        <v>325</v>
      </c>
    </row>
    <row r="5" spans="3:13" x14ac:dyDescent="0.35">
      <c r="D5" t="s">
        <v>278</v>
      </c>
      <c r="E5" s="6">
        <v>62.5</v>
      </c>
      <c r="G5" t="s">
        <v>300</v>
      </c>
      <c r="H5" s="6">
        <v>189.03684354467546</v>
      </c>
      <c r="I5">
        <f>CEILING(H5,1)</f>
        <v>190</v>
      </c>
      <c r="J5">
        <f>I5-E10</f>
        <v>115</v>
      </c>
    </row>
    <row r="7" spans="3:13" x14ac:dyDescent="0.35">
      <c r="D7" t="s">
        <v>277</v>
      </c>
      <c r="G7" t="s">
        <v>297</v>
      </c>
      <c r="H7" s="82"/>
    </row>
    <row r="8" spans="3:13" x14ac:dyDescent="0.35">
      <c r="D8" t="s">
        <v>279</v>
      </c>
      <c r="E8" s="5">
        <v>60</v>
      </c>
      <c r="G8" t="s">
        <v>324</v>
      </c>
      <c r="H8" s="5">
        <v>62.5</v>
      </c>
    </row>
    <row r="9" spans="3:13" x14ac:dyDescent="0.35">
      <c r="D9" t="s">
        <v>285</v>
      </c>
      <c r="E9" s="36">
        <v>0.19</v>
      </c>
      <c r="G9" t="s">
        <v>298</v>
      </c>
      <c r="H9" s="36">
        <v>0.2</v>
      </c>
    </row>
    <row r="10" spans="3:13" x14ac:dyDescent="0.35">
      <c r="D10" t="s">
        <v>283</v>
      </c>
      <c r="E10" s="6">
        <v>75</v>
      </c>
      <c r="G10" t="s">
        <v>283</v>
      </c>
    </row>
    <row r="11" spans="3:13" x14ac:dyDescent="0.35">
      <c r="D11" t="s">
        <v>284</v>
      </c>
      <c r="E11" s="8">
        <f>E$10/365</f>
        <v>0.20547945205479451</v>
      </c>
      <c r="G11" t="s">
        <v>299</v>
      </c>
      <c r="H11" s="8">
        <f>H$5/365</f>
        <v>0.51790916039637114</v>
      </c>
      <c r="K11" t="s">
        <v>337</v>
      </c>
    </row>
    <row r="12" spans="3:13" ht="18.5" x14ac:dyDescent="0.45">
      <c r="H12" s="82"/>
      <c r="J12" t="s">
        <v>276</v>
      </c>
      <c r="K12" s="1" t="s">
        <v>336</v>
      </c>
    </row>
    <row r="13" spans="3:13" x14ac:dyDescent="0.35">
      <c r="C13" t="s">
        <v>292</v>
      </c>
      <c r="D13" t="s">
        <v>280</v>
      </c>
      <c r="E13" s="82">
        <f>$E$5*E$23-E$8*E$25</f>
        <v>3.5856849593836273</v>
      </c>
      <c r="G13" t="s">
        <v>302</v>
      </c>
      <c r="H13" s="82">
        <f>$E$5*H$23-H$8*H$25</f>
        <v>3.5856849582976906</v>
      </c>
      <c r="J13">
        <f>H13-E13</f>
        <v>-1.0859366739168763E-9</v>
      </c>
      <c r="K13">
        <f>ABS(J13)</f>
        <v>1.0859366739168763E-9</v>
      </c>
    </row>
    <row r="14" spans="3:13" x14ac:dyDescent="0.35">
      <c r="D14" t="s">
        <v>281</v>
      </c>
      <c r="E14" s="82">
        <f>MAX(0,$E$5-E$8)</f>
        <v>2.5</v>
      </c>
      <c r="G14" t="s">
        <v>303</v>
      </c>
      <c r="H14" s="82">
        <f>MAX(0,$E$5-H$8)</f>
        <v>0</v>
      </c>
    </row>
    <row r="15" spans="3:13" x14ac:dyDescent="0.35">
      <c r="D15" t="s">
        <v>282</v>
      </c>
      <c r="E15" s="82">
        <f>E13-E14</f>
        <v>1.0856849593836273</v>
      </c>
      <c r="G15" t="s">
        <v>304</v>
      </c>
      <c r="H15" s="82">
        <f>H13-H14</f>
        <v>3.5856849582976906</v>
      </c>
    </row>
    <row r="16" spans="3:13" x14ac:dyDescent="0.35">
      <c r="D16" t="s">
        <v>293</v>
      </c>
      <c r="E16" s="49">
        <f>E15/E19</f>
        <v>0.52662891983634619</v>
      </c>
      <c r="G16" t="s">
        <v>305</v>
      </c>
      <c r="H16" s="49">
        <f>H15/H19</f>
        <v>0.99913748822751269</v>
      </c>
    </row>
    <row r="17" spans="3:8" x14ac:dyDescent="0.35">
      <c r="H17" s="82"/>
    </row>
    <row r="18" spans="3:8" x14ac:dyDescent="0.35">
      <c r="D18" t="s">
        <v>287</v>
      </c>
      <c r="E18" s="83">
        <f>E$9*SQRT(E$11)</f>
        <v>8.6126698643208668E-2</v>
      </c>
      <c r="G18" t="s">
        <v>306</v>
      </c>
      <c r="H18" s="83">
        <f>H$9*SQRT(H$11)</f>
        <v>0.14393181168822564</v>
      </c>
    </row>
    <row r="19" spans="3:8" x14ac:dyDescent="0.35">
      <c r="D19" t="s">
        <v>286</v>
      </c>
      <c r="E19" s="83">
        <f>1/SQRT(2*PI())*E$18*E$8</f>
        <v>2.061574893610119</v>
      </c>
      <c r="G19" t="s">
        <v>286</v>
      </c>
      <c r="H19" s="83">
        <f>1/SQRT(2*PI())*H$18*H$8</f>
        <v>3.5887803235756452</v>
      </c>
    </row>
    <row r="20" spans="3:8" x14ac:dyDescent="0.35">
      <c r="D20" t="s">
        <v>207</v>
      </c>
      <c r="E20" s="82">
        <f>($E$5-E$8)</f>
        <v>2.5</v>
      </c>
      <c r="G20" t="s">
        <v>207</v>
      </c>
      <c r="H20" s="82">
        <f>($E$5-H$8)</f>
        <v>0</v>
      </c>
    </row>
    <row r="21" spans="3:8" x14ac:dyDescent="0.35">
      <c r="D21" t="s">
        <v>208</v>
      </c>
      <c r="E21" s="8">
        <f>E$20/E$8</f>
        <v>4.1666666666666664E-2</v>
      </c>
      <c r="G21" t="s">
        <v>208</v>
      </c>
      <c r="H21" s="8">
        <f>H$20/H$8</f>
        <v>0</v>
      </c>
    </row>
    <row r="22" spans="3:8" x14ac:dyDescent="0.35">
      <c r="D22" t="s">
        <v>50</v>
      </c>
      <c r="E22" s="83">
        <f>LN(1+E$21)/E$18+0.5*E$18</f>
        <v>0.51703942367882261</v>
      </c>
      <c r="G22" t="s">
        <v>50</v>
      </c>
      <c r="H22" s="83">
        <f>LN(1+H$21)/H$18+0.5*H$18</f>
        <v>7.1965905844112818E-2</v>
      </c>
    </row>
    <row r="23" spans="3:8" x14ac:dyDescent="0.35">
      <c r="D23" t="s">
        <v>53</v>
      </c>
      <c r="E23" s="83">
        <f>NORMDIST(E22,0,1,TRUE)</f>
        <v>0.6974356806921993</v>
      </c>
      <c r="G23" t="s">
        <v>53</v>
      </c>
      <c r="H23" s="83">
        <f>NORMDIST(H22,0,1,TRUE)</f>
        <v>0.52868547966638157</v>
      </c>
    </row>
    <row r="24" spans="3:8" x14ac:dyDescent="0.35">
      <c r="D24" t="s">
        <v>51</v>
      </c>
      <c r="E24" s="83">
        <f>LN(1+E$21)/E$18-0.5*E$18</f>
        <v>0.43091272503561395</v>
      </c>
      <c r="G24" t="s">
        <v>51</v>
      </c>
      <c r="H24" s="83">
        <f>LN(1+H$21)/H$18-0.5*H$18</f>
        <v>-7.1965905844112818E-2</v>
      </c>
    </row>
    <row r="25" spans="3:8" x14ac:dyDescent="0.35">
      <c r="D25" t="s">
        <v>54</v>
      </c>
      <c r="E25" s="83">
        <f>NORMDIST(E24,0,1,TRUE)</f>
        <v>0.66673408473131379</v>
      </c>
      <c r="G25" t="s">
        <v>54</v>
      </c>
      <c r="H25" s="83">
        <f>NORMDIST(H24,0,1,TRUE)</f>
        <v>0.47131452033361848</v>
      </c>
    </row>
    <row r="26" spans="3:8" x14ac:dyDescent="0.35">
      <c r="H26" s="82"/>
    </row>
    <row r="27" spans="3:8" x14ac:dyDescent="0.35">
      <c r="C27" t="s">
        <v>296</v>
      </c>
      <c r="D27" t="s">
        <v>280</v>
      </c>
      <c r="E27" s="82">
        <f>E28+E29</f>
        <v>3.7708510665930879</v>
      </c>
      <c r="G27" t="s">
        <v>302</v>
      </c>
      <c r="H27" s="82">
        <f>H28+H29</f>
        <v>3.5887803235756452</v>
      </c>
    </row>
    <row r="28" spans="3:8" x14ac:dyDescent="0.35">
      <c r="D28" t="s">
        <v>281</v>
      </c>
      <c r="E28" s="82">
        <f>MAX(0,$E$5-E$8)</f>
        <v>2.5</v>
      </c>
      <c r="G28" t="s">
        <v>303</v>
      </c>
      <c r="H28" s="82">
        <f>MAX(0,$E$5-H$8)</f>
        <v>0</v>
      </c>
    </row>
    <row r="29" spans="3:8" x14ac:dyDescent="0.35">
      <c r="D29" t="s">
        <v>282</v>
      </c>
      <c r="E29" s="82">
        <f>E$19*EXP(-ABS(E$21)/E$18)</f>
        <v>1.2708510665930877</v>
      </c>
      <c r="G29" t="s">
        <v>304</v>
      </c>
      <c r="H29" s="82">
        <f>H$19*EXP(-ABS(H$21)/H$18)</f>
        <v>3.5887803235756452</v>
      </c>
    </row>
  </sheetData>
  <mergeCells count="1">
    <mergeCell ref="D2:M2"/>
  </mergeCells>
  <pageMargins left="0.7" right="0.7" top="0.75" bottom="0.75" header="0.3" footer="0.3"/>
  <pageSetup orientation="portrait" horizontalDpi="1200" verticalDpi="1200"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5"/>
  <dimension ref="F2:H13"/>
  <sheetViews>
    <sheetView workbookViewId="0">
      <selection activeCell="F16" sqref="F16"/>
    </sheetView>
  </sheetViews>
  <sheetFormatPr defaultRowHeight="14.5" x14ac:dyDescent="0.35"/>
  <cols>
    <col min="6" max="6" width="38" bestFit="1" customWidth="1"/>
    <col min="7" max="7" width="9.1796875" style="2"/>
    <col min="8" max="8" width="12.7265625" customWidth="1"/>
  </cols>
  <sheetData>
    <row r="2" spans="6:8" x14ac:dyDescent="0.35">
      <c r="F2" s="35" t="s">
        <v>101</v>
      </c>
    </row>
    <row r="4" spans="6:8" ht="18.5" x14ac:dyDescent="0.45">
      <c r="F4" s="37" t="s">
        <v>29</v>
      </c>
      <c r="G4" s="38"/>
      <c r="H4" t="s">
        <v>104</v>
      </c>
    </row>
    <row r="5" spans="6:8" x14ac:dyDescent="0.35">
      <c r="F5" s="39" t="s">
        <v>99</v>
      </c>
      <c r="G5" s="40">
        <v>18</v>
      </c>
      <c r="H5" t="s">
        <v>105</v>
      </c>
    </row>
    <row r="6" spans="6:8" x14ac:dyDescent="0.35">
      <c r="F6" s="39" t="s">
        <v>98</v>
      </c>
      <c r="G6" s="40">
        <v>15</v>
      </c>
      <c r="H6" t="s">
        <v>106</v>
      </c>
    </row>
    <row r="7" spans="6:8" x14ac:dyDescent="0.35">
      <c r="F7" s="39" t="s">
        <v>97</v>
      </c>
      <c r="G7" s="40">
        <v>14.5</v>
      </c>
      <c r="H7" t="s">
        <v>107</v>
      </c>
    </row>
    <row r="8" spans="6:8" x14ac:dyDescent="0.35">
      <c r="F8" s="39" t="s">
        <v>100</v>
      </c>
      <c r="G8" s="41">
        <v>0.25</v>
      </c>
    </row>
    <row r="9" spans="6:8" ht="18.5" x14ac:dyDescent="0.45">
      <c r="F9" s="37" t="s">
        <v>48</v>
      </c>
      <c r="G9" s="41"/>
    </row>
    <row r="10" spans="6:8" x14ac:dyDescent="0.35">
      <c r="F10" s="39" t="s">
        <v>102</v>
      </c>
      <c r="G10" s="40">
        <f>(1-G8)*(G5-G6)</f>
        <v>2.25</v>
      </c>
      <c r="H10" t="s">
        <v>108</v>
      </c>
    </row>
    <row r="11" spans="6:8" x14ac:dyDescent="0.35">
      <c r="F11" s="39" t="s">
        <v>110</v>
      </c>
      <c r="G11" s="40">
        <f>G8*(G5-G6)</f>
        <v>0.75</v>
      </c>
      <c r="H11" t="s">
        <v>112</v>
      </c>
    </row>
    <row r="12" spans="6:8" x14ac:dyDescent="0.35">
      <c r="F12" s="39" t="s">
        <v>113</v>
      </c>
      <c r="G12" s="40">
        <f>G7+G10</f>
        <v>16.75</v>
      </c>
      <c r="H12" t="s">
        <v>109</v>
      </c>
    </row>
    <row r="13" spans="6:8" x14ac:dyDescent="0.35">
      <c r="F13" s="39" t="s">
        <v>103</v>
      </c>
      <c r="G13" s="40">
        <f>G6+G11</f>
        <v>15.75</v>
      </c>
      <c r="H13" t="s">
        <v>111</v>
      </c>
    </row>
  </sheetData>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filterMode="1"/>
  <dimension ref="A2:Z352"/>
  <sheetViews>
    <sheetView workbookViewId="0">
      <pane xSplit="1" ySplit="18" topLeftCell="B89" activePane="bottomRight" state="frozen"/>
      <selection pane="topRight" activeCell="B1" sqref="B1"/>
      <selection pane="bottomLeft" activeCell="A10" sqref="A10"/>
      <selection pane="bottomRight" activeCell="B89" sqref="B89"/>
    </sheetView>
  </sheetViews>
  <sheetFormatPr defaultRowHeight="14.5" x14ac:dyDescent="0.35"/>
  <cols>
    <col min="1" max="1" width="23.453125" customWidth="1"/>
    <col min="2" max="2" width="20.81640625" style="81" customWidth="1"/>
    <col min="3" max="3" width="15" style="28" customWidth="1"/>
    <col min="4" max="4" width="18.26953125" customWidth="1"/>
    <col min="5" max="5" width="14.54296875" customWidth="1"/>
    <col min="6" max="6" width="10.7265625" customWidth="1"/>
    <col min="7" max="7" width="12.453125" bestFit="1" customWidth="1"/>
    <col min="8" max="8" width="10.7265625" customWidth="1"/>
    <col min="9" max="9" width="14" customWidth="1"/>
    <col min="10" max="10" width="15.26953125" customWidth="1"/>
    <col min="11" max="11" width="38.1796875" style="2" bestFit="1" customWidth="1"/>
    <col min="12" max="12" width="15.7265625" style="81" customWidth="1"/>
    <col min="13" max="13" width="45.26953125" style="82" bestFit="1" customWidth="1"/>
    <col min="14" max="14" width="24" style="81" bestFit="1" customWidth="1"/>
    <col min="15" max="15" width="24" style="6" customWidth="1"/>
    <col min="16" max="16" width="13.81640625" style="6" customWidth="1"/>
    <col min="17" max="19" width="13.7265625" style="6" customWidth="1"/>
    <col min="20" max="20" width="18.7265625" style="6" customWidth="1"/>
    <col min="21" max="22" width="13.7265625" style="6" customWidth="1"/>
    <col min="23" max="24" width="13.7265625" style="81" customWidth="1"/>
    <col min="25" max="25" width="10.7265625" customWidth="1"/>
    <col min="26" max="26" width="18.7265625" style="81" bestFit="1" customWidth="1"/>
    <col min="27" max="28" width="10.7265625" customWidth="1"/>
  </cols>
  <sheetData>
    <row r="2" spans="1:26" x14ac:dyDescent="0.35">
      <c r="A2" t="s">
        <v>237</v>
      </c>
    </row>
    <row r="4" spans="1:26" x14ac:dyDescent="0.35">
      <c r="A4" t="s">
        <v>211</v>
      </c>
      <c r="B4" s="6">
        <v>7</v>
      </c>
      <c r="C4" s="6">
        <v>14</v>
      </c>
      <c r="D4" s="6">
        <v>21</v>
      </c>
      <c r="E4" s="6">
        <v>28</v>
      </c>
      <c r="F4" s="6">
        <v>60</v>
      </c>
      <c r="G4" s="6">
        <v>90</v>
      </c>
      <c r="H4" s="6">
        <v>180</v>
      </c>
      <c r="I4" s="6">
        <v>365</v>
      </c>
      <c r="J4" s="6"/>
      <c r="K4" s="6"/>
      <c r="L4" s="6"/>
      <c r="M4" s="6"/>
      <c r="N4" s="6"/>
      <c r="W4" s="6"/>
    </row>
    <row r="5" spans="1:26" x14ac:dyDescent="0.35">
      <c r="A5" t="s">
        <v>230</v>
      </c>
      <c r="B5" s="8">
        <v>0.1</v>
      </c>
      <c r="C5" s="8">
        <v>0.2</v>
      </c>
      <c r="D5" s="8">
        <v>0.3</v>
      </c>
      <c r="E5" s="8">
        <v>0.4</v>
      </c>
      <c r="F5" s="8">
        <v>0.5</v>
      </c>
      <c r="G5" s="8">
        <v>0.6</v>
      </c>
      <c r="H5" s="8"/>
      <c r="I5" s="8"/>
    </row>
    <row r="6" spans="1:26" x14ac:dyDescent="0.35">
      <c r="A6" t="s">
        <v>229</v>
      </c>
      <c r="B6" s="8">
        <v>5.0000000000000001E-3</v>
      </c>
      <c r="C6" s="8">
        <v>0.01</v>
      </c>
      <c r="D6" s="8">
        <v>1.4999999999999999E-2</v>
      </c>
      <c r="E6" s="8">
        <v>0.02</v>
      </c>
      <c r="F6" s="8">
        <v>2.5000000000000001E-2</v>
      </c>
      <c r="G6" s="8">
        <v>0.03</v>
      </c>
      <c r="H6" s="8">
        <v>0.04</v>
      </c>
      <c r="I6" s="8">
        <v>0.05</v>
      </c>
      <c r="Y6">
        <f>0.5*SQRT(2*PI())</f>
        <v>1.2533141373155001</v>
      </c>
    </row>
    <row r="7" spans="1:26" x14ac:dyDescent="0.35">
      <c r="A7" t="s">
        <v>226</v>
      </c>
      <c r="C7" s="8"/>
      <c r="D7" s="2"/>
      <c r="E7" s="2"/>
      <c r="F7" s="2"/>
      <c r="G7" s="2"/>
      <c r="H7" s="2"/>
      <c r="I7" s="2"/>
    </row>
    <row r="8" spans="1:26" x14ac:dyDescent="0.35">
      <c r="C8" s="8"/>
      <c r="D8" s="2"/>
      <c r="E8" s="2"/>
      <c r="F8" s="2"/>
      <c r="G8" s="2"/>
      <c r="H8" s="2"/>
      <c r="I8" s="2"/>
    </row>
    <row r="9" spans="1:26" x14ac:dyDescent="0.35">
      <c r="C9" s="8"/>
      <c r="D9" s="2"/>
      <c r="E9" s="2"/>
      <c r="F9" s="2"/>
      <c r="G9" s="2"/>
      <c r="H9" s="2"/>
      <c r="I9" s="2"/>
    </row>
    <row r="10" spans="1:26" x14ac:dyDescent="0.35">
      <c r="A10" t="s">
        <v>254</v>
      </c>
      <c r="B10" s="8">
        <v>0.03</v>
      </c>
      <c r="C10" s="84">
        <f>SLOPE(Q19:Q312,(P19:P312)^2)</f>
        <v>-0.35694620462796661</v>
      </c>
      <c r="D10" s="2"/>
      <c r="E10" s="2"/>
      <c r="F10" s="2"/>
      <c r="G10" s="2"/>
      <c r="H10" s="2"/>
      <c r="I10" s="2"/>
    </row>
    <row r="11" spans="1:26" x14ac:dyDescent="0.35">
      <c r="A11" t="s">
        <v>267</v>
      </c>
      <c r="B11" s="81">
        <v>100</v>
      </c>
      <c r="C11" s="8"/>
      <c r="D11" s="2"/>
      <c r="E11" s="2"/>
      <c r="F11" s="2"/>
      <c r="G11" s="2"/>
      <c r="H11" s="2"/>
      <c r="I11" s="2"/>
    </row>
    <row r="12" spans="1:26" x14ac:dyDescent="0.35">
      <c r="B12" s="82"/>
      <c r="C12" s="8"/>
      <c r="D12" s="82"/>
      <c r="E12" s="82"/>
      <c r="F12" s="82"/>
      <c r="G12" s="82"/>
      <c r="H12" s="82"/>
      <c r="I12" s="82"/>
      <c r="K12" s="82"/>
      <c r="L12" s="82"/>
      <c r="N12" s="82"/>
      <c r="W12" s="82"/>
      <c r="X12" s="82"/>
      <c r="Z12" s="82"/>
    </row>
    <row r="13" spans="1:26" x14ac:dyDescent="0.35">
      <c r="B13" s="82"/>
      <c r="C13" s="8"/>
      <c r="D13" s="82"/>
      <c r="E13" s="82"/>
      <c r="F13" s="82"/>
      <c r="G13" s="82"/>
      <c r="H13" s="82"/>
      <c r="I13" s="82"/>
      <c r="K13" s="82"/>
      <c r="L13" s="82"/>
      <c r="N13" s="82"/>
      <c r="W13" s="82"/>
      <c r="X13" s="82"/>
      <c r="Z13" s="82"/>
    </row>
    <row r="14" spans="1:26" x14ac:dyDescent="0.35">
      <c r="B14" s="82"/>
      <c r="C14" s="8"/>
      <c r="D14" s="82"/>
      <c r="E14" s="82"/>
      <c r="F14" s="82"/>
      <c r="G14" s="82"/>
      <c r="H14" s="82"/>
      <c r="I14" s="82"/>
      <c r="K14" s="82"/>
      <c r="L14" s="82"/>
      <c r="N14" s="82"/>
      <c r="W14" s="82"/>
      <c r="X14" s="82"/>
      <c r="Z14" s="82"/>
    </row>
    <row r="15" spans="1:26" x14ac:dyDescent="0.35">
      <c r="B15" s="82"/>
      <c r="C15" s="8"/>
      <c r="D15" s="82"/>
      <c r="E15" s="82"/>
      <c r="F15" s="82"/>
      <c r="G15" s="82"/>
      <c r="H15" s="82"/>
      <c r="I15" s="82"/>
      <c r="K15" s="82"/>
      <c r="L15" s="82"/>
      <c r="N15" s="82"/>
      <c r="W15" s="82"/>
      <c r="X15" s="82"/>
      <c r="Z15" s="82"/>
    </row>
    <row r="16" spans="1:26" x14ac:dyDescent="0.35">
      <c r="B16" s="82"/>
      <c r="C16" s="8"/>
      <c r="D16" s="82"/>
      <c r="E16" s="82"/>
      <c r="F16" s="82"/>
      <c r="G16" s="82"/>
      <c r="H16" s="82"/>
      <c r="I16" s="82"/>
      <c r="K16" s="82"/>
      <c r="L16" s="82"/>
      <c r="N16" s="82"/>
      <c r="W16" s="82"/>
      <c r="X16" s="82"/>
      <c r="Z16" s="82"/>
    </row>
    <row r="17" spans="1:26" x14ac:dyDescent="0.35">
      <c r="I17" s="292" t="s">
        <v>236</v>
      </c>
      <c r="J17" s="292"/>
      <c r="M17" s="82" t="s">
        <v>266</v>
      </c>
    </row>
    <row r="18" spans="1:26" x14ac:dyDescent="0.35">
      <c r="A18" s="2" t="s">
        <v>239</v>
      </c>
      <c r="B18" s="81" t="s">
        <v>208</v>
      </c>
      <c r="C18" t="s">
        <v>207</v>
      </c>
      <c r="D18" s="2" t="s">
        <v>40</v>
      </c>
      <c r="E18" s="2" t="s">
        <v>180</v>
      </c>
      <c r="F18" s="2" t="s">
        <v>213</v>
      </c>
      <c r="G18" s="2" t="s">
        <v>233</v>
      </c>
      <c r="H18" s="5" t="s">
        <v>232</v>
      </c>
      <c r="I18" s="2" t="s">
        <v>235</v>
      </c>
      <c r="J18" s="8" t="s">
        <v>234</v>
      </c>
      <c r="K18" s="2" t="str">
        <f>"f(u)=-ATMDistance(%)/ln(TimeValue(%))"</f>
        <v>f(u)=-ATMDistance(%)/ln(TimeValue(%))</v>
      </c>
      <c r="L18" s="81" t="s">
        <v>242</v>
      </c>
      <c r="M18" s="82" t="s">
        <v>263</v>
      </c>
      <c r="N18" s="81" t="s">
        <v>238</v>
      </c>
      <c r="O18" s="6" t="s">
        <v>253</v>
      </c>
      <c r="P18" s="6" t="s">
        <v>255</v>
      </c>
      <c r="Q18" s="6" t="s">
        <v>264</v>
      </c>
      <c r="R18" s="6" t="s">
        <v>258</v>
      </c>
      <c r="S18" s="6" t="s">
        <v>265</v>
      </c>
      <c r="T18" s="6" t="s">
        <v>268</v>
      </c>
      <c r="X18" s="81" t="s">
        <v>240</v>
      </c>
      <c r="Y18" s="81" t="s">
        <v>53</v>
      </c>
      <c r="Z18" s="81" t="s">
        <v>241</v>
      </c>
    </row>
    <row r="19" spans="1:26" hidden="1" x14ac:dyDescent="0.35">
      <c r="A19" s="36">
        <v>0.01</v>
      </c>
      <c r="B19" s="36">
        <v>0</v>
      </c>
      <c r="C19" s="5">
        <f>D19*B19</f>
        <v>0</v>
      </c>
      <c r="D19" s="2">
        <v>100</v>
      </c>
      <c r="E19" s="5">
        <f>D19+C19</f>
        <v>100</v>
      </c>
      <c r="F19" s="5">
        <f>E19-D19</f>
        <v>0</v>
      </c>
      <c r="G19" s="8">
        <f>1/SQRT(2*PI())*A19</f>
        <v>3.9894228040143268E-3</v>
      </c>
      <c r="H19" s="5">
        <f>G19*D19</f>
        <v>0.39894228040143265</v>
      </c>
      <c r="I19" s="80">
        <f>($E19*NORMDIST(LN($E19/$D19)/$A19+0.5*$A19,0,1,TRUE)-$D19*NORMDIST(LN($E19/$D19)/$A19-0.5*$A19,0,1,TRUE)-$F19)</f>
        <v>0.39894061814816695</v>
      </c>
      <c r="J19" s="80">
        <f t="shared" ref="J19:J50" si="0">I19/H19</f>
        <v>0.99999583334896458</v>
      </c>
      <c r="K19" s="2">
        <f>-B19/LN(J19)</f>
        <v>0</v>
      </c>
      <c r="L19" s="5">
        <f>A19</f>
        <v>0.01</v>
      </c>
      <c r="M19" s="80">
        <f t="shared" ref="M19:M82" si="1">K19-A19</f>
        <v>-0.01</v>
      </c>
      <c r="N19" s="80">
        <f>LN(1+B19)/A19</f>
        <v>0</v>
      </c>
      <c r="O19" s="6">
        <f>IF($B$10=B19,1,0)</f>
        <v>0</v>
      </c>
      <c r="P19" s="6">
        <f>O19*A19</f>
        <v>0</v>
      </c>
      <c r="Q19" s="6">
        <f>IF(ISNUMBER(K19),O19*M19,0)</f>
        <v>0</v>
      </c>
      <c r="R19" s="6">
        <f>IF(O19=0,0,$C$10*A19^2)</f>
        <v>0</v>
      </c>
      <c r="S19" s="6">
        <f>A19-1/($B$11*B19+0.5)*A19^2</f>
        <v>9.7999999999999997E-3</v>
      </c>
      <c r="T19" s="83">
        <f>K19-S19</f>
        <v>-9.7999999999999997E-3</v>
      </c>
      <c r="W19" s="80"/>
      <c r="X19" s="81">
        <f t="shared" ref="X19:X82" si="2">N19+0.5*A19</f>
        <v>5.0000000000000001E-3</v>
      </c>
      <c r="Y19">
        <f>NORMDIST(X19,0,1,TRUE)</f>
        <v>0.50199470309074079</v>
      </c>
      <c r="Z19" s="81">
        <f t="shared" ref="Z19:Z29" si="3">0.5+D1/(SQRT(2*PI()))</f>
        <v>0.5</v>
      </c>
    </row>
    <row r="20" spans="1:26" hidden="1" x14ac:dyDescent="0.35">
      <c r="A20" s="36">
        <v>0.02</v>
      </c>
      <c r="B20" s="36">
        <v>0</v>
      </c>
      <c r="C20" s="5">
        <f t="shared" ref="C20:C32" si="4">D20*B20</f>
        <v>0</v>
      </c>
      <c r="D20" s="2">
        <v>100</v>
      </c>
      <c r="E20" s="5">
        <f t="shared" ref="E20:E32" si="5">D20+C20</f>
        <v>100</v>
      </c>
      <c r="F20" s="5">
        <f t="shared" ref="F20:F32" si="6">E20-D20</f>
        <v>0</v>
      </c>
      <c r="G20" s="8">
        <f t="shared" ref="G20:G32" si="7">1/SQRT(2*PI())*A20</f>
        <v>7.9788456080286535E-3</v>
      </c>
      <c r="H20" s="5">
        <f t="shared" ref="H20:H32" si="8">G20*D20</f>
        <v>0.79788456080286529</v>
      </c>
      <c r="I20" s="80">
        <f t="shared" ref="I20:I83" si="9">($E20*NORMDIST(LN($E20/$D20)/$A20+0.5*$A20,0,1,TRUE)-$D20*NORMDIST(LN($E20/$D20)/$A20-0.5*$A20,0,1,TRUE)-$F20)</f>
        <v>0.79787126292632138</v>
      </c>
      <c r="J20" s="80">
        <f t="shared" si="0"/>
        <v>0.99998333358333125</v>
      </c>
      <c r="K20" s="2">
        <f t="shared" ref="K20:K83" si="10">-B20/LN(J20)</f>
        <v>0</v>
      </c>
      <c r="L20" s="5">
        <f t="shared" ref="L20:L83" si="11">A20</f>
        <v>0.02</v>
      </c>
      <c r="M20" s="80">
        <f t="shared" si="1"/>
        <v>-0.02</v>
      </c>
      <c r="N20" s="80">
        <f t="shared" ref="N20:N83" si="12">LN(1+B20)/A20</f>
        <v>0</v>
      </c>
      <c r="O20" s="6">
        <f t="shared" ref="O20:O83" si="13">IF($B$10=B20,1,0)</f>
        <v>0</v>
      </c>
      <c r="P20" s="6">
        <f t="shared" ref="P20:P83" si="14">O20*A20</f>
        <v>0</v>
      </c>
      <c r="Q20" s="6">
        <f t="shared" ref="Q20:Q83" si="15">IF(ISNUMBER(K20),O20*M20,0)</f>
        <v>0</v>
      </c>
      <c r="R20" s="6">
        <f t="shared" ref="R20:R83" si="16">IF(O20=0,0,$C$10*A20^2)</f>
        <v>0</v>
      </c>
      <c r="S20" s="6">
        <f t="shared" ref="S20:S83" si="17">A20-1/($B$11*B20+0.5)*A20^2</f>
        <v>1.9200000000000002E-2</v>
      </c>
      <c r="T20" s="83">
        <f t="shared" ref="T20:T83" si="18">K20-S20</f>
        <v>-1.9200000000000002E-2</v>
      </c>
      <c r="W20" s="80"/>
      <c r="X20" s="81">
        <f t="shared" si="2"/>
        <v>0.01</v>
      </c>
      <c r="Y20">
        <f t="shared" ref="Y20:Y83" si="19">NORMDIST(X20,0,1,TRUE)</f>
        <v>0.5039893563146316</v>
      </c>
      <c r="Z20" s="81">
        <f t="shared" si="3"/>
        <v>0.5</v>
      </c>
    </row>
    <row r="21" spans="1:26" hidden="1" x14ac:dyDescent="0.35">
      <c r="A21" s="36">
        <v>0.05</v>
      </c>
      <c r="B21" s="36">
        <v>0</v>
      </c>
      <c r="C21" s="5">
        <f t="shared" si="4"/>
        <v>0</v>
      </c>
      <c r="D21" s="2">
        <v>100</v>
      </c>
      <c r="E21" s="5">
        <f t="shared" si="5"/>
        <v>100</v>
      </c>
      <c r="F21" s="5">
        <f t="shared" si="6"/>
        <v>0</v>
      </c>
      <c r="G21" s="8">
        <f t="shared" si="7"/>
        <v>1.9947114020071637E-2</v>
      </c>
      <c r="H21" s="5">
        <f t="shared" si="8"/>
        <v>1.9947114020071637</v>
      </c>
      <c r="I21" s="80">
        <f t="shared" si="9"/>
        <v>1.9945036390476076</v>
      </c>
      <c r="J21" s="80">
        <f t="shared" si="0"/>
        <v>0.99989584309823121</v>
      </c>
      <c r="K21" s="2">
        <f t="shared" si="10"/>
        <v>0</v>
      </c>
      <c r="L21" s="5">
        <f t="shared" si="11"/>
        <v>0.05</v>
      </c>
      <c r="M21" s="80">
        <f t="shared" si="1"/>
        <v>-0.05</v>
      </c>
      <c r="N21" s="80">
        <f t="shared" si="12"/>
        <v>0</v>
      </c>
      <c r="O21" s="6">
        <f t="shared" si="13"/>
        <v>0</v>
      </c>
      <c r="P21" s="6">
        <f t="shared" si="14"/>
        <v>0</v>
      </c>
      <c r="Q21" s="6">
        <f t="shared" si="15"/>
        <v>0</v>
      </c>
      <c r="R21" s="6">
        <f t="shared" si="16"/>
        <v>0</v>
      </c>
      <c r="S21" s="6">
        <f t="shared" si="17"/>
        <v>4.4999999999999998E-2</v>
      </c>
      <c r="T21" s="83">
        <f t="shared" si="18"/>
        <v>-4.4999999999999998E-2</v>
      </c>
      <c r="W21" s="80"/>
      <c r="X21" s="81">
        <f t="shared" si="2"/>
        <v>2.5000000000000001E-2</v>
      </c>
      <c r="Y21">
        <f t="shared" si="19"/>
        <v>0.50997251819523803</v>
      </c>
      <c r="Z21" s="81">
        <f t="shared" si="3"/>
        <v>0.5</v>
      </c>
    </row>
    <row r="22" spans="1:26" hidden="1" x14ac:dyDescent="0.35">
      <c r="A22" s="36">
        <v>0.08</v>
      </c>
      <c r="B22" s="36">
        <v>0</v>
      </c>
      <c r="C22" s="5">
        <f t="shared" si="4"/>
        <v>0</v>
      </c>
      <c r="D22" s="2">
        <v>100</v>
      </c>
      <c r="E22" s="5">
        <f t="shared" si="5"/>
        <v>100</v>
      </c>
      <c r="F22" s="5">
        <f t="shared" si="6"/>
        <v>0</v>
      </c>
      <c r="G22" s="8">
        <f t="shared" si="7"/>
        <v>3.1915382432114614E-2</v>
      </c>
      <c r="H22" s="5">
        <f t="shared" si="8"/>
        <v>3.1915382432114612</v>
      </c>
      <c r="I22" s="80">
        <f t="shared" si="9"/>
        <v>3.1906873705661454</v>
      </c>
      <c r="J22" s="80">
        <f t="shared" si="0"/>
        <v>0.99973339732114264</v>
      </c>
      <c r="K22" s="2">
        <f t="shared" si="10"/>
        <v>0</v>
      </c>
      <c r="L22" s="5">
        <f t="shared" si="11"/>
        <v>0.08</v>
      </c>
      <c r="M22" s="80">
        <f t="shared" si="1"/>
        <v>-0.08</v>
      </c>
      <c r="N22" s="80">
        <f t="shared" si="12"/>
        <v>0</v>
      </c>
      <c r="O22" s="6">
        <f t="shared" si="13"/>
        <v>0</v>
      </c>
      <c r="P22" s="6">
        <f t="shared" si="14"/>
        <v>0</v>
      </c>
      <c r="Q22" s="6">
        <f t="shared" si="15"/>
        <v>0</v>
      </c>
      <c r="R22" s="6">
        <f t="shared" si="16"/>
        <v>0</v>
      </c>
      <c r="S22" s="6">
        <f t="shared" si="17"/>
        <v>6.7199999999999996E-2</v>
      </c>
      <c r="T22" s="83">
        <f t="shared" si="18"/>
        <v>-6.7199999999999996E-2</v>
      </c>
      <c r="W22" s="80"/>
      <c r="X22" s="81">
        <f t="shared" si="2"/>
        <v>0.04</v>
      </c>
      <c r="Y22">
        <f t="shared" si="19"/>
        <v>0.51595343685283068</v>
      </c>
      <c r="Z22" s="81">
        <f t="shared" si="3"/>
        <v>8.8777878884300865</v>
      </c>
    </row>
    <row r="23" spans="1:26" hidden="1" x14ac:dyDescent="0.35">
      <c r="A23" s="36">
        <v>0.1</v>
      </c>
      <c r="B23" s="36">
        <v>0</v>
      </c>
      <c r="C23" s="5">
        <f t="shared" si="4"/>
        <v>0</v>
      </c>
      <c r="D23" s="2">
        <v>100</v>
      </c>
      <c r="E23" s="5">
        <f t="shared" si="5"/>
        <v>100</v>
      </c>
      <c r="F23" s="5">
        <f t="shared" si="6"/>
        <v>0</v>
      </c>
      <c r="G23" s="8">
        <f t="shared" si="7"/>
        <v>3.9894228040143274E-2</v>
      </c>
      <c r="H23" s="5">
        <f t="shared" si="8"/>
        <v>3.9894228040143274</v>
      </c>
      <c r="I23" s="80">
        <f t="shared" si="9"/>
        <v>3.987761167674492</v>
      </c>
      <c r="J23" s="80">
        <f t="shared" si="0"/>
        <v>0.9995834895368414</v>
      </c>
      <c r="K23" s="2">
        <f t="shared" si="10"/>
        <v>0</v>
      </c>
      <c r="L23" s="5">
        <f t="shared" si="11"/>
        <v>0.1</v>
      </c>
      <c r="M23" s="80">
        <f t="shared" si="1"/>
        <v>-0.1</v>
      </c>
      <c r="N23" s="80">
        <f t="shared" si="12"/>
        <v>0</v>
      </c>
      <c r="O23" s="6">
        <f t="shared" si="13"/>
        <v>0</v>
      </c>
      <c r="P23" s="6">
        <f t="shared" si="14"/>
        <v>0</v>
      </c>
      <c r="Q23" s="6">
        <f t="shared" si="15"/>
        <v>0</v>
      </c>
      <c r="R23" s="6">
        <f t="shared" si="16"/>
        <v>0</v>
      </c>
      <c r="S23" s="6">
        <f t="shared" si="17"/>
        <v>0.08</v>
      </c>
      <c r="T23" s="83">
        <f t="shared" si="18"/>
        <v>-0.08</v>
      </c>
      <c r="W23" s="80"/>
      <c r="X23" s="81">
        <f t="shared" si="2"/>
        <v>0.05</v>
      </c>
      <c r="Y23">
        <f t="shared" si="19"/>
        <v>0.51993880583837249</v>
      </c>
      <c r="Z23" s="81">
        <f t="shared" si="3"/>
        <v>0.61968268412042982</v>
      </c>
    </row>
    <row r="24" spans="1:26" hidden="1" x14ac:dyDescent="0.35">
      <c r="A24" s="36">
        <v>0.12</v>
      </c>
      <c r="B24" s="36">
        <v>0</v>
      </c>
      <c r="C24" s="5">
        <f t="shared" si="4"/>
        <v>0</v>
      </c>
      <c r="D24" s="2">
        <v>100</v>
      </c>
      <c r="E24" s="5">
        <f t="shared" si="5"/>
        <v>100</v>
      </c>
      <c r="F24" s="5">
        <f t="shared" si="6"/>
        <v>0</v>
      </c>
      <c r="G24" s="8">
        <f t="shared" si="7"/>
        <v>4.7873073648171921E-2</v>
      </c>
      <c r="H24" s="5">
        <f t="shared" si="8"/>
        <v>4.7873073648171918</v>
      </c>
      <c r="I24" s="80">
        <f t="shared" si="9"/>
        <v>4.7844365308213668</v>
      </c>
      <c r="J24" s="80">
        <f t="shared" si="0"/>
        <v>0.99940032386119104</v>
      </c>
      <c r="K24" s="2">
        <f t="shared" si="10"/>
        <v>0</v>
      </c>
      <c r="L24" s="5">
        <f t="shared" si="11"/>
        <v>0.12</v>
      </c>
      <c r="M24" s="80">
        <f t="shared" si="1"/>
        <v>-0.12</v>
      </c>
      <c r="N24" s="80">
        <f t="shared" si="12"/>
        <v>0</v>
      </c>
      <c r="O24" s="6">
        <f t="shared" si="13"/>
        <v>0</v>
      </c>
      <c r="P24" s="6">
        <f t="shared" si="14"/>
        <v>0</v>
      </c>
      <c r="Q24" s="6">
        <f t="shared" si="15"/>
        <v>0</v>
      </c>
      <c r="R24" s="6">
        <f t="shared" si="16"/>
        <v>0</v>
      </c>
      <c r="S24" s="6">
        <f t="shared" si="17"/>
        <v>9.1200000000000003E-2</v>
      </c>
      <c r="T24" s="83">
        <f t="shared" si="18"/>
        <v>-9.1200000000000003E-2</v>
      </c>
      <c r="W24" s="80"/>
      <c r="X24" s="81">
        <f t="shared" si="2"/>
        <v>0.06</v>
      </c>
      <c r="Y24">
        <f t="shared" si="19"/>
        <v>0.52392218265410684</v>
      </c>
      <c r="Z24" s="81">
        <f t="shared" si="3"/>
        <v>0.50598413420602151</v>
      </c>
    </row>
    <row r="25" spans="1:26" hidden="1" x14ac:dyDescent="0.35">
      <c r="A25" s="36">
        <v>0.15</v>
      </c>
      <c r="B25" s="36">
        <v>0</v>
      </c>
      <c r="C25" s="5">
        <f t="shared" si="4"/>
        <v>0</v>
      </c>
      <c r="D25" s="2">
        <v>100</v>
      </c>
      <c r="E25" s="5">
        <f t="shared" si="5"/>
        <v>100</v>
      </c>
      <c r="F25" s="5">
        <f t="shared" si="6"/>
        <v>0</v>
      </c>
      <c r="G25" s="8">
        <f t="shared" si="7"/>
        <v>5.9841342060214901E-2</v>
      </c>
      <c r="H25" s="5">
        <f t="shared" si="8"/>
        <v>5.9841342060214897</v>
      </c>
      <c r="I25" s="80">
        <f t="shared" si="9"/>
        <v>5.9785288105789576</v>
      </c>
      <c r="J25" s="80">
        <f t="shared" si="0"/>
        <v>0.99906329048621745</v>
      </c>
      <c r="K25" s="2">
        <f t="shared" si="10"/>
        <v>0</v>
      </c>
      <c r="L25" s="5">
        <f t="shared" si="11"/>
        <v>0.15</v>
      </c>
      <c r="M25" s="80">
        <f t="shared" si="1"/>
        <v>-0.15</v>
      </c>
      <c r="N25" s="80">
        <f t="shared" si="12"/>
        <v>0</v>
      </c>
      <c r="O25" s="6">
        <f t="shared" si="13"/>
        <v>0</v>
      </c>
      <c r="P25" s="6">
        <f t="shared" si="14"/>
        <v>0</v>
      </c>
      <c r="Q25" s="6">
        <f t="shared" si="15"/>
        <v>0</v>
      </c>
      <c r="R25" s="6">
        <f t="shared" si="16"/>
        <v>0</v>
      </c>
      <c r="S25" s="6">
        <f t="shared" si="17"/>
        <v>0.105</v>
      </c>
      <c r="T25" s="83">
        <f t="shared" si="18"/>
        <v>-0.105</v>
      </c>
      <c r="W25" s="80"/>
      <c r="X25" s="81">
        <f t="shared" si="2"/>
        <v>7.4999999999999997E-2</v>
      </c>
      <c r="Y25">
        <f t="shared" si="19"/>
        <v>0.52989264405289482</v>
      </c>
      <c r="Z25" s="81">
        <f t="shared" si="3"/>
        <v>0.5</v>
      </c>
    </row>
    <row r="26" spans="1:26" hidden="1" x14ac:dyDescent="0.35">
      <c r="A26" s="36">
        <v>0.2</v>
      </c>
      <c r="B26" s="36">
        <v>0</v>
      </c>
      <c r="C26" s="5">
        <f t="shared" si="4"/>
        <v>0</v>
      </c>
      <c r="D26" s="2">
        <v>100</v>
      </c>
      <c r="E26" s="5">
        <f t="shared" si="5"/>
        <v>100</v>
      </c>
      <c r="F26" s="5">
        <f t="shared" si="6"/>
        <v>0</v>
      </c>
      <c r="G26" s="8">
        <f t="shared" si="7"/>
        <v>7.9788456080286549E-2</v>
      </c>
      <c r="H26" s="5">
        <f t="shared" si="8"/>
        <v>7.9788456080286547</v>
      </c>
      <c r="I26" s="80">
        <f t="shared" si="9"/>
        <v>7.9655674554058038</v>
      </c>
      <c r="J26" s="80">
        <f t="shared" si="0"/>
        <v>0.99833583036003481</v>
      </c>
      <c r="K26" s="2">
        <f t="shared" si="10"/>
        <v>0</v>
      </c>
      <c r="L26" s="5">
        <f t="shared" si="11"/>
        <v>0.2</v>
      </c>
      <c r="M26" s="80">
        <f t="shared" si="1"/>
        <v>-0.2</v>
      </c>
      <c r="N26" s="80">
        <f t="shared" si="12"/>
        <v>0</v>
      </c>
      <c r="O26" s="6">
        <f t="shared" si="13"/>
        <v>0</v>
      </c>
      <c r="P26" s="6">
        <f t="shared" si="14"/>
        <v>0</v>
      </c>
      <c r="Q26" s="6">
        <f t="shared" si="15"/>
        <v>0</v>
      </c>
      <c r="R26" s="6">
        <f t="shared" si="16"/>
        <v>0</v>
      </c>
      <c r="S26" s="6">
        <f t="shared" si="17"/>
        <v>0.12</v>
      </c>
      <c r="T26" s="83">
        <f t="shared" si="18"/>
        <v>-0.12</v>
      </c>
      <c r="W26" s="80"/>
      <c r="X26" s="81">
        <f t="shared" si="2"/>
        <v>0.1</v>
      </c>
      <c r="Y26">
        <f t="shared" si="19"/>
        <v>0.53982783727702899</v>
      </c>
      <c r="Z26" s="81">
        <f t="shared" si="3"/>
        <v>0.5</v>
      </c>
    </row>
    <row r="27" spans="1:26" hidden="1" x14ac:dyDescent="0.35">
      <c r="A27" s="36">
        <v>0.25</v>
      </c>
      <c r="B27" s="36">
        <v>0</v>
      </c>
      <c r="C27" s="5">
        <f t="shared" si="4"/>
        <v>0</v>
      </c>
      <c r="D27" s="2">
        <v>100</v>
      </c>
      <c r="E27" s="5">
        <f t="shared" si="5"/>
        <v>100</v>
      </c>
      <c r="F27" s="5">
        <f t="shared" si="6"/>
        <v>0</v>
      </c>
      <c r="G27" s="8">
        <f t="shared" si="7"/>
        <v>9.9735570100358176E-2</v>
      </c>
      <c r="H27" s="5">
        <f t="shared" si="8"/>
        <v>9.9735570100358171</v>
      </c>
      <c r="I27" s="80">
        <f t="shared" si="9"/>
        <v>9.9476449660225796</v>
      </c>
      <c r="J27" s="80">
        <f t="shared" si="0"/>
        <v>0.9974019255129174</v>
      </c>
      <c r="K27" s="2">
        <f t="shared" si="10"/>
        <v>0</v>
      </c>
      <c r="L27" s="5">
        <f t="shared" si="11"/>
        <v>0.25</v>
      </c>
      <c r="M27" s="80">
        <f t="shared" si="1"/>
        <v>-0.25</v>
      </c>
      <c r="N27" s="80">
        <f t="shared" si="12"/>
        <v>0</v>
      </c>
      <c r="O27" s="6">
        <f t="shared" si="13"/>
        <v>0</v>
      </c>
      <c r="P27" s="6">
        <f t="shared" si="14"/>
        <v>0</v>
      </c>
      <c r="Q27" s="6">
        <f t="shared" si="15"/>
        <v>0</v>
      </c>
      <c r="R27" s="6">
        <f t="shared" si="16"/>
        <v>0</v>
      </c>
      <c r="S27" s="6">
        <f t="shared" si="17"/>
        <v>0.125</v>
      </c>
      <c r="T27" s="83">
        <f t="shared" si="18"/>
        <v>-0.125</v>
      </c>
      <c r="W27" s="80"/>
      <c r="X27" s="81">
        <f t="shared" si="2"/>
        <v>0.125</v>
      </c>
      <c r="Y27">
        <f t="shared" si="19"/>
        <v>0.54973822483011292</v>
      </c>
      <c r="Z27" s="81">
        <f t="shared" si="3"/>
        <v>0.5</v>
      </c>
    </row>
    <row r="28" spans="1:26" hidden="1" x14ac:dyDescent="0.35">
      <c r="A28" s="36">
        <v>0.3</v>
      </c>
      <c r="B28" s="36">
        <v>0</v>
      </c>
      <c r="C28" s="5">
        <f t="shared" si="4"/>
        <v>0</v>
      </c>
      <c r="D28" s="2">
        <v>100</v>
      </c>
      <c r="E28" s="5">
        <f t="shared" si="5"/>
        <v>100</v>
      </c>
      <c r="F28" s="5">
        <f t="shared" si="6"/>
        <v>0</v>
      </c>
      <c r="G28" s="8">
        <f t="shared" si="7"/>
        <v>0.1196826841204298</v>
      </c>
      <c r="H28" s="5">
        <f t="shared" si="8"/>
        <v>11.968268412042979</v>
      </c>
      <c r="I28" s="80">
        <f t="shared" si="9"/>
        <v>11.923538474048499</v>
      </c>
      <c r="J28" s="80">
        <f t="shared" si="0"/>
        <v>0.99626262242335151</v>
      </c>
      <c r="K28" s="2">
        <f t="shared" si="10"/>
        <v>0</v>
      </c>
      <c r="L28" s="5">
        <f t="shared" si="11"/>
        <v>0.3</v>
      </c>
      <c r="M28" s="80">
        <f t="shared" si="1"/>
        <v>-0.3</v>
      </c>
      <c r="N28" s="80">
        <f t="shared" si="12"/>
        <v>0</v>
      </c>
      <c r="O28" s="6">
        <f t="shared" si="13"/>
        <v>0</v>
      </c>
      <c r="P28" s="6">
        <f t="shared" si="14"/>
        <v>0</v>
      </c>
      <c r="Q28" s="6">
        <f t="shared" si="15"/>
        <v>0</v>
      </c>
      <c r="R28" s="6">
        <f t="shared" si="16"/>
        <v>0</v>
      </c>
      <c r="S28" s="6">
        <f t="shared" si="17"/>
        <v>0.12</v>
      </c>
      <c r="T28" s="83">
        <f t="shared" si="18"/>
        <v>-0.12</v>
      </c>
      <c r="W28" s="80"/>
      <c r="X28" s="81">
        <f t="shared" si="2"/>
        <v>0.15</v>
      </c>
      <c r="Y28">
        <f t="shared" si="19"/>
        <v>0.5596176923702425</v>
      </c>
      <c r="Z28" s="81">
        <f t="shared" si="3"/>
        <v>0.5</v>
      </c>
    </row>
    <row r="29" spans="1:26" hidden="1" x14ac:dyDescent="0.35">
      <c r="A29" s="36">
        <v>0.35</v>
      </c>
      <c r="B29" s="36">
        <v>0</v>
      </c>
      <c r="C29" s="5">
        <f t="shared" si="4"/>
        <v>0</v>
      </c>
      <c r="D29" s="2">
        <v>100</v>
      </c>
      <c r="E29" s="5">
        <f t="shared" si="5"/>
        <v>100</v>
      </c>
      <c r="F29" s="5">
        <f t="shared" si="6"/>
        <v>0</v>
      </c>
      <c r="G29" s="8">
        <f t="shared" si="7"/>
        <v>0.13962979814050144</v>
      </c>
      <c r="H29" s="5">
        <f t="shared" si="8"/>
        <v>13.962979814050144</v>
      </c>
      <c r="I29" s="80">
        <f t="shared" si="9"/>
        <v>13.89203664153473</v>
      </c>
      <c r="J29" s="80">
        <f t="shared" si="0"/>
        <v>0.99491919536802398</v>
      </c>
      <c r="K29" s="2">
        <f t="shared" si="10"/>
        <v>0</v>
      </c>
      <c r="L29" s="5">
        <f t="shared" si="11"/>
        <v>0.35</v>
      </c>
      <c r="M29" s="80">
        <f t="shared" si="1"/>
        <v>-0.35</v>
      </c>
      <c r="N29" s="80">
        <f t="shared" si="12"/>
        <v>0</v>
      </c>
      <c r="O29" s="6">
        <f t="shared" si="13"/>
        <v>0</v>
      </c>
      <c r="P29" s="6">
        <f t="shared" si="14"/>
        <v>0</v>
      </c>
      <c r="Q29" s="6">
        <f t="shared" si="15"/>
        <v>0</v>
      </c>
      <c r="R29" s="6">
        <f t="shared" si="16"/>
        <v>0</v>
      </c>
      <c r="S29" s="6">
        <f t="shared" si="17"/>
        <v>0.10500000000000001</v>
      </c>
      <c r="T29" s="83">
        <f t="shared" si="18"/>
        <v>-0.10500000000000001</v>
      </c>
      <c r="W29" s="80"/>
      <c r="X29" s="81">
        <f t="shared" si="2"/>
        <v>0.17499999999999999</v>
      </c>
      <c r="Y29">
        <f t="shared" si="19"/>
        <v>0.56946018320767366</v>
      </c>
      <c r="Z29" s="81">
        <f t="shared" si="3"/>
        <v>0.5</v>
      </c>
    </row>
    <row r="30" spans="1:26" hidden="1" x14ac:dyDescent="0.35">
      <c r="A30" s="36">
        <v>0.4</v>
      </c>
      <c r="B30" s="36">
        <v>0</v>
      </c>
      <c r="C30" s="5">
        <f t="shared" si="4"/>
        <v>0</v>
      </c>
      <c r="D30" s="2">
        <v>100</v>
      </c>
      <c r="E30" s="5">
        <f t="shared" si="5"/>
        <v>100</v>
      </c>
      <c r="F30" s="5">
        <f t="shared" si="6"/>
        <v>0</v>
      </c>
      <c r="G30" s="8">
        <f t="shared" si="7"/>
        <v>0.1595769121605731</v>
      </c>
      <c r="H30" s="5">
        <f t="shared" si="8"/>
        <v>15.957691216057309</v>
      </c>
      <c r="I30" s="80">
        <f t="shared" si="9"/>
        <v>15.851941887820608</v>
      </c>
      <c r="J30" s="80">
        <f t="shared" si="0"/>
        <v>0.99337314359546625</v>
      </c>
      <c r="K30" s="2">
        <f t="shared" si="10"/>
        <v>0</v>
      </c>
      <c r="L30" s="5">
        <f t="shared" si="11"/>
        <v>0.4</v>
      </c>
      <c r="M30" s="80">
        <f t="shared" si="1"/>
        <v>-0.4</v>
      </c>
      <c r="N30" s="80">
        <f t="shared" si="12"/>
        <v>0</v>
      </c>
      <c r="O30" s="6">
        <f t="shared" si="13"/>
        <v>0</v>
      </c>
      <c r="P30" s="6">
        <f t="shared" si="14"/>
        <v>0</v>
      </c>
      <c r="Q30" s="6">
        <f t="shared" si="15"/>
        <v>0</v>
      </c>
      <c r="R30" s="6">
        <f t="shared" si="16"/>
        <v>0</v>
      </c>
      <c r="S30" s="6">
        <f t="shared" si="17"/>
        <v>7.999999999999996E-2</v>
      </c>
      <c r="T30" s="83">
        <f t="shared" si="18"/>
        <v>-7.999999999999996E-2</v>
      </c>
      <c r="W30" s="80"/>
      <c r="X30" s="81">
        <f t="shared" si="2"/>
        <v>0.2</v>
      </c>
      <c r="Y30">
        <f t="shared" si="19"/>
        <v>0.57925970943910299</v>
      </c>
      <c r="Z30" s="81">
        <f t="shared" ref="Z30:Z93" si="20">0.5+D17/(SQRT(2*PI()))</f>
        <v>0.5</v>
      </c>
    </row>
    <row r="31" spans="1:26" hidden="1" x14ac:dyDescent="0.35">
      <c r="A31" s="36">
        <v>0.5</v>
      </c>
      <c r="B31" s="36">
        <v>0</v>
      </c>
      <c r="C31" s="5">
        <f t="shared" si="4"/>
        <v>0</v>
      </c>
      <c r="D31" s="2">
        <v>100</v>
      </c>
      <c r="E31" s="5">
        <f t="shared" si="5"/>
        <v>100</v>
      </c>
      <c r="F31" s="5">
        <f t="shared" si="6"/>
        <v>0</v>
      </c>
      <c r="G31" s="8">
        <f t="shared" si="7"/>
        <v>0.19947114020071635</v>
      </c>
      <c r="H31" s="5">
        <f t="shared" si="8"/>
        <v>19.947114020071634</v>
      </c>
      <c r="I31" s="80">
        <f t="shared" si="9"/>
        <v>19.741265136584744</v>
      </c>
      <c r="J31" s="80">
        <f t="shared" si="0"/>
        <v>0.98968026736701076</v>
      </c>
      <c r="K31" s="2">
        <f t="shared" si="10"/>
        <v>0</v>
      </c>
      <c r="L31" s="5">
        <f t="shared" si="11"/>
        <v>0.5</v>
      </c>
      <c r="M31" s="80">
        <f t="shared" si="1"/>
        <v>-0.5</v>
      </c>
      <c r="N31" s="80">
        <f t="shared" si="12"/>
        <v>0</v>
      </c>
      <c r="O31" s="6">
        <f t="shared" si="13"/>
        <v>0</v>
      </c>
      <c r="P31" s="6">
        <f t="shared" si="14"/>
        <v>0</v>
      </c>
      <c r="Q31" s="6">
        <f t="shared" si="15"/>
        <v>0</v>
      </c>
      <c r="R31" s="6">
        <f t="shared" si="16"/>
        <v>0</v>
      </c>
      <c r="S31" s="6">
        <f t="shared" si="17"/>
        <v>0</v>
      </c>
      <c r="T31" s="83">
        <f t="shared" si="18"/>
        <v>0</v>
      </c>
      <c r="W31" s="80"/>
      <c r="X31" s="81">
        <f t="shared" si="2"/>
        <v>0.25</v>
      </c>
      <c r="Y31">
        <f t="shared" si="19"/>
        <v>0.5987063256829237</v>
      </c>
      <c r="Z31" s="81" t="e">
        <f t="shared" si="20"/>
        <v>#VALUE!</v>
      </c>
    </row>
    <row r="32" spans="1:26" hidden="1" x14ac:dyDescent="0.35">
      <c r="A32" s="36">
        <v>0.6</v>
      </c>
      <c r="B32" s="36">
        <v>0</v>
      </c>
      <c r="C32" s="5">
        <f t="shared" si="4"/>
        <v>0</v>
      </c>
      <c r="D32" s="2">
        <v>100</v>
      </c>
      <c r="E32" s="5">
        <f t="shared" si="5"/>
        <v>100</v>
      </c>
      <c r="F32" s="5">
        <f t="shared" si="6"/>
        <v>0</v>
      </c>
      <c r="G32" s="8">
        <f t="shared" si="7"/>
        <v>0.23936536824085961</v>
      </c>
      <c r="H32" s="5">
        <f t="shared" si="8"/>
        <v>23.936536824085959</v>
      </c>
      <c r="I32" s="80">
        <f t="shared" si="9"/>
        <v>23.582284437790534</v>
      </c>
      <c r="J32" s="80">
        <f t="shared" si="0"/>
        <v>0.98520034920260646</v>
      </c>
      <c r="K32" s="2">
        <f t="shared" si="10"/>
        <v>0</v>
      </c>
      <c r="L32" s="5">
        <f t="shared" si="11"/>
        <v>0.6</v>
      </c>
      <c r="M32" s="80">
        <f t="shared" si="1"/>
        <v>-0.6</v>
      </c>
      <c r="N32" s="80">
        <f t="shared" si="12"/>
        <v>0</v>
      </c>
      <c r="O32" s="6">
        <f t="shared" si="13"/>
        <v>0</v>
      </c>
      <c r="P32" s="6">
        <f t="shared" si="14"/>
        <v>0</v>
      </c>
      <c r="Q32" s="6">
        <f t="shared" si="15"/>
        <v>0</v>
      </c>
      <c r="R32" s="6">
        <f t="shared" si="16"/>
        <v>0</v>
      </c>
      <c r="S32" s="6">
        <f t="shared" si="17"/>
        <v>-0.12</v>
      </c>
      <c r="T32" s="83">
        <f t="shared" si="18"/>
        <v>0.12</v>
      </c>
      <c r="W32" s="80"/>
      <c r="X32" s="81">
        <f t="shared" si="2"/>
        <v>0.3</v>
      </c>
      <c r="Y32">
        <f t="shared" si="19"/>
        <v>0.61791142218895267</v>
      </c>
      <c r="Z32" s="81">
        <f t="shared" si="20"/>
        <v>40.394228040143275</v>
      </c>
    </row>
    <row r="33" spans="1:26" hidden="1" x14ac:dyDescent="0.35">
      <c r="A33" s="36">
        <v>0.01</v>
      </c>
      <c r="B33" s="8">
        <v>1E-3</v>
      </c>
      <c r="C33" s="5">
        <f>D33*B33</f>
        <v>0.1</v>
      </c>
      <c r="D33" s="2">
        <v>100</v>
      </c>
      <c r="E33" s="5">
        <f>D33+C33</f>
        <v>100.1</v>
      </c>
      <c r="F33" s="5">
        <f>E33-D33</f>
        <v>9.9999999999994316E-2</v>
      </c>
      <c r="G33" s="8">
        <f>1/SQRT(2*PI())*A33</f>
        <v>3.9894228040143268E-3</v>
      </c>
      <c r="H33" s="5">
        <f>G33*D33</f>
        <v>0.39894228040143265</v>
      </c>
      <c r="I33" s="80">
        <f t="shared" si="9"/>
        <v>0.35113212011356865</v>
      </c>
      <c r="J33" s="80">
        <f t="shared" si="0"/>
        <v>0.88015770040779984</v>
      </c>
      <c r="K33" s="2">
        <f t="shared" si="10"/>
        <v>7.8336642010049355E-3</v>
      </c>
      <c r="L33" s="5">
        <f t="shared" si="11"/>
        <v>0.01</v>
      </c>
      <c r="M33" s="80">
        <f t="shared" si="1"/>
        <v>-2.1663357989950647E-3</v>
      </c>
      <c r="N33" s="80">
        <f t="shared" si="12"/>
        <v>9.9950033308342318E-2</v>
      </c>
      <c r="O33" s="6">
        <f t="shared" si="13"/>
        <v>0</v>
      </c>
      <c r="P33" s="6">
        <f t="shared" si="14"/>
        <v>0</v>
      </c>
      <c r="Q33" s="6">
        <f t="shared" si="15"/>
        <v>0</v>
      </c>
      <c r="R33" s="6">
        <f t="shared" si="16"/>
        <v>0</v>
      </c>
      <c r="S33" s="6">
        <f t="shared" si="17"/>
        <v>9.8333333333333328E-3</v>
      </c>
      <c r="T33" s="83">
        <f t="shared" si="18"/>
        <v>-1.9996691323283973E-3</v>
      </c>
      <c r="W33" s="80"/>
      <c r="X33" s="81">
        <f t="shared" si="2"/>
        <v>0.10495003330834232</v>
      </c>
      <c r="Y33">
        <f t="shared" si="19"/>
        <v>0.54179227134469476</v>
      </c>
      <c r="Z33" s="81">
        <f t="shared" si="20"/>
        <v>40.394228040143275</v>
      </c>
    </row>
    <row r="34" spans="1:26" hidden="1" x14ac:dyDescent="0.35">
      <c r="A34" s="36">
        <v>0.02</v>
      </c>
      <c r="B34" s="8">
        <v>1E-3</v>
      </c>
      <c r="C34" s="5">
        <f t="shared" ref="C34:C97" si="21">D34*B34</f>
        <v>0.1</v>
      </c>
      <c r="D34" s="2">
        <v>100</v>
      </c>
      <c r="E34" s="5">
        <f t="shared" ref="E34:E97" si="22">D34+C34</f>
        <v>100.1</v>
      </c>
      <c r="F34" s="5">
        <f t="shared" ref="F34:F97" si="23">E34-D34</f>
        <v>9.9999999999994316E-2</v>
      </c>
      <c r="G34" s="8">
        <f t="shared" ref="G34:G97" si="24">1/SQRT(2*PI())*A34</f>
        <v>7.9788456080286535E-3</v>
      </c>
      <c r="H34" s="5">
        <f t="shared" ref="H34:H97" si="25">G34*D34</f>
        <v>0.79788456080286529</v>
      </c>
      <c r="I34" s="80">
        <f t="shared" si="9"/>
        <v>0.74926679864182688</v>
      </c>
      <c r="J34" s="80">
        <f t="shared" si="0"/>
        <v>0.93906667135892796</v>
      </c>
      <c r="K34" s="2">
        <f t="shared" si="10"/>
        <v>1.5906141098022516E-2</v>
      </c>
      <c r="L34" s="5">
        <f t="shared" si="11"/>
        <v>0.02</v>
      </c>
      <c r="M34" s="80">
        <f t="shared" si="1"/>
        <v>-4.0938589019774846E-3</v>
      </c>
      <c r="N34" s="80">
        <f t="shared" si="12"/>
        <v>4.9975016654171159E-2</v>
      </c>
      <c r="O34" s="6">
        <f t="shared" si="13"/>
        <v>0</v>
      </c>
      <c r="P34" s="6">
        <f t="shared" si="14"/>
        <v>0</v>
      </c>
      <c r="Q34" s="6">
        <f t="shared" si="15"/>
        <v>0</v>
      </c>
      <c r="R34" s="6">
        <f t="shared" si="16"/>
        <v>0</v>
      </c>
      <c r="S34" s="6">
        <f t="shared" si="17"/>
        <v>1.9333333333333334E-2</v>
      </c>
      <c r="T34" s="83">
        <f t="shared" si="18"/>
        <v>-3.4271922353108185E-3</v>
      </c>
      <c r="W34" s="80"/>
      <c r="X34" s="81">
        <f t="shared" si="2"/>
        <v>5.9975016654171161E-2</v>
      </c>
      <c r="Y34">
        <f t="shared" si="19"/>
        <v>0.52391223365800066</v>
      </c>
      <c r="Z34" s="81">
        <f t="shared" si="20"/>
        <v>40.394228040143275</v>
      </c>
    </row>
    <row r="35" spans="1:26" hidden="1" x14ac:dyDescent="0.35">
      <c r="A35" s="36">
        <v>0.05</v>
      </c>
      <c r="B35" s="8">
        <v>1E-3</v>
      </c>
      <c r="C35" s="5">
        <f t="shared" si="21"/>
        <v>0.1</v>
      </c>
      <c r="D35" s="2">
        <v>100</v>
      </c>
      <c r="E35" s="5">
        <f t="shared" si="22"/>
        <v>100.1</v>
      </c>
      <c r="F35" s="5">
        <f t="shared" si="23"/>
        <v>9.9999999999994316E-2</v>
      </c>
      <c r="G35" s="8">
        <f t="shared" si="24"/>
        <v>1.9947114020071637E-2</v>
      </c>
      <c r="H35" s="5">
        <f t="shared" si="25"/>
        <v>1.9947114020071637</v>
      </c>
      <c r="I35" s="80">
        <f t="shared" si="9"/>
        <v>1.9458994959398055</v>
      </c>
      <c r="J35" s="80">
        <f t="shared" si="0"/>
        <v>0.97552933922258545</v>
      </c>
      <c r="K35" s="2">
        <f t="shared" si="10"/>
        <v>4.0363198906058273E-2</v>
      </c>
      <c r="L35" s="5">
        <f t="shared" si="11"/>
        <v>0.05</v>
      </c>
      <c r="M35" s="80">
        <f t="shared" si="1"/>
        <v>-9.6368010939417298E-3</v>
      </c>
      <c r="N35" s="80">
        <f t="shared" si="12"/>
        <v>1.9990006661668464E-2</v>
      </c>
      <c r="O35" s="6">
        <f t="shared" si="13"/>
        <v>0</v>
      </c>
      <c r="P35" s="6">
        <f t="shared" si="14"/>
        <v>0</v>
      </c>
      <c r="Q35" s="6">
        <f t="shared" si="15"/>
        <v>0</v>
      </c>
      <c r="R35" s="6">
        <f t="shared" si="16"/>
        <v>0</v>
      </c>
      <c r="S35" s="6">
        <f t="shared" si="17"/>
        <v>4.5833333333333337E-2</v>
      </c>
      <c r="T35" s="83">
        <f t="shared" si="18"/>
        <v>-5.470134427275064E-3</v>
      </c>
      <c r="W35" s="80"/>
      <c r="X35" s="81">
        <f t="shared" si="2"/>
        <v>4.4990006661668469E-2</v>
      </c>
      <c r="Y35">
        <f t="shared" si="19"/>
        <v>0.51794236279061767</v>
      </c>
      <c r="Z35" s="81">
        <f t="shared" si="20"/>
        <v>40.394228040143275</v>
      </c>
    </row>
    <row r="36" spans="1:26" hidden="1" x14ac:dyDescent="0.35">
      <c r="A36" s="36">
        <v>0.08</v>
      </c>
      <c r="B36" s="8">
        <v>1E-3</v>
      </c>
      <c r="C36" s="5">
        <f t="shared" si="21"/>
        <v>0.1</v>
      </c>
      <c r="D36" s="2">
        <v>100</v>
      </c>
      <c r="E36" s="5">
        <f t="shared" si="22"/>
        <v>100.1</v>
      </c>
      <c r="F36" s="5">
        <f t="shared" si="23"/>
        <v>9.9999999999994316E-2</v>
      </c>
      <c r="G36" s="8">
        <f t="shared" si="24"/>
        <v>3.1915382432114614E-2</v>
      </c>
      <c r="H36" s="5">
        <f t="shared" si="25"/>
        <v>3.1915382432114612</v>
      </c>
      <c r="I36" s="80">
        <f t="shared" si="9"/>
        <v>3.1425317260542585</v>
      </c>
      <c r="J36" s="80">
        <f t="shared" si="0"/>
        <v>0.98464485980657079</v>
      </c>
      <c r="K36" s="2">
        <f t="shared" si="10"/>
        <v>6.4623482215562328E-2</v>
      </c>
      <c r="L36" s="5">
        <f t="shared" si="11"/>
        <v>0.08</v>
      </c>
      <c r="M36" s="80">
        <f t="shared" si="1"/>
        <v>-1.5376517784437674E-2</v>
      </c>
      <c r="N36" s="80">
        <f t="shared" si="12"/>
        <v>1.249375416354279E-2</v>
      </c>
      <c r="O36" s="6">
        <f t="shared" si="13"/>
        <v>0</v>
      </c>
      <c r="P36" s="6">
        <f t="shared" si="14"/>
        <v>0</v>
      </c>
      <c r="Q36" s="6">
        <f t="shared" si="15"/>
        <v>0</v>
      </c>
      <c r="R36" s="6">
        <f t="shared" si="16"/>
        <v>0</v>
      </c>
      <c r="S36" s="6">
        <f t="shared" si="17"/>
        <v>6.933333333333333E-2</v>
      </c>
      <c r="T36" s="83">
        <f t="shared" si="18"/>
        <v>-4.7098511177710023E-3</v>
      </c>
      <c r="W36" s="80"/>
      <c r="X36" s="81">
        <f t="shared" si="2"/>
        <v>5.2493754163542794E-2</v>
      </c>
      <c r="Y36">
        <f t="shared" si="19"/>
        <v>0.52093236403472631</v>
      </c>
      <c r="Z36" s="81">
        <f t="shared" si="20"/>
        <v>40.394228040143275</v>
      </c>
    </row>
    <row r="37" spans="1:26" hidden="1" x14ac:dyDescent="0.35">
      <c r="A37" s="36">
        <v>0.1</v>
      </c>
      <c r="B37" s="8">
        <v>1E-3</v>
      </c>
      <c r="C37" s="5">
        <f t="shared" si="21"/>
        <v>0.1</v>
      </c>
      <c r="D37" s="2">
        <v>100</v>
      </c>
      <c r="E37" s="5">
        <f t="shared" si="22"/>
        <v>100.1</v>
      </c>
      <c r="F37" s="5">
        <f t="shared" si="23"/>
        <v>9.9999999999994316E-2</v>
      </c>
      <c r="G37" s="8">
        <f t="shared" si="24"/>
        <v>3.9894228040143274E-2</v>
      </c>
      <c r="H37" s="5">
        <f t="shared" si="25"/>
        <v>3.9894228040143274</v>
      </c>
      <c r="I37" s="80">
        <f t="shared" si="9"/>
        <v>3.939954169008935</v>
      </c>
      <c r="J37" s="80">
        <f t="shared" si="0"/>
        <v>0.9876000520788083</v>
      </c>
      <c r="K37" s="2">
        <f t="shared" si="10"/>
        <v>8.0144460207305285E-2</v>
      </c>
      <c r="L37" s="5">
        <f t="shared" si="11"/>
        <v>0.1</v>
      </c>
      <c r="M37" s="80">
        <f t="shared" si="1"/>
        <v>-1.9855539792694721E-2</v>
      </c>
      <c r="N37" s="80">
        <f t="shared" si="12"/>
        <v>9.9950033308342321E-3</v>
      </c>
      <c r="O37" s="6">
        <f t="shared" si="13"/>
        <v>0</v>
      </c>
      <c r="P37" s="6">
        <f t="shared" si="14"/>
        <v>0</v>
      </c>
      <c r="Q37" s="6">
        <f t="shared" si="15"/>
        <v>0</v>
      </c>
      <c r="R37" s="6">
        <f t="shared" si="16"/>
        <v>0</v>
      </c>
      <c r="S37" s="6">
        <f t="shared" si="17"/>
        <v>8.3333333333333343E-2</v>
      </c>
      <c r="T37" s="83">
        <f t="shared" si="18"/>
        <v>-3.1888731260280578E-3</v>
      </c>
      <c r="W37" s="80"/>
      <c r="X37" s="81">
        <f t="shared" si="2"/>
        <v>5.9995003330834233E-2</v>
      </c>
      <c r="Y37">
        <f t="shared" si="19"/>
        <v>0.52392019285607849</v>
      </c>
      <c r="Z37" s="81">
        <f t="shared" si="20"/>
        <v>40.394228040143275</v>
      </c>
    </row>
    <row r="38" spans="1:26" hidden="1" x14ac:dyDescent="0.35">
      <c r="A38" s="36">
        <v>0.12</v>
      </c>
      <c r="B38" s="8">
        <v>1E-3</v>
      </c>
      <c r="C38" s="5">
        <f t="shared" si="21"/>
        <v>0.1</v>
      </c>
      <c r="D38" s="2">
        <v>100</v>
      </c>
      <c r="E38" s="5">
        <f t="shared" si="22"/>
        <v>100.1</v>
      </c>
      <c r="F38" s="5">
        <f t="shared" si="23"/>
        <v>9.9999999999994316E-2</v>
      </c>
      <c r="G38" s="8">
        <f t="shared" si="24"/>
        <v>4.7873073648171921E-2</v>
      </c>
      <c r="H38" s="5">
        <f t="shared" si="25"/>
        <v>4.7873073648171918</v>
      </c>
      <c r="I38" s="80">
        <f t="shared" si="9"/>
        <v>4.7369945922288963</v>
      </c>
      <c r="J38" s="80">
        <f t="shared" si="0"/>
        <v>0.98949038180459159</v>
      </c>
      <c r="K38" s="2">
        <f t="shared" si="10"/>
        <v>9.4650054776103359E-2</v>
      </c>
      <c r="L38" s="5">
        <f t="shared" si="11"/>
        <v>0.12</v>
      </c>
      <c r="M38" s="80">
        <f t="shared" si="1"/>
        <v>-2.5349945223896636E-2</v>
      </c>
      <c r="N38" s="80">
        <f t="shared" si="12"/>
        <v>8.3291694423618598E-3</v>
      </c>
      <c r="O38" s="6">
        <f t="shared" si="13"/>
        <v>0</v>
      </c>
      <c r="P38" s="6">
        <f t="shared" si="14"/>
        <v>0</v>
      </c>
      <c r="Q38" s="6">
        <f t="shared" si="15"/>
        <v>0</v>
      </c>
      <c r="R38" s="6">
        <f t="shared" si="16"/>
        <v>0</v>
      </c>
      <c r="S38" s="6">
        <f t="shared" si="17"/>
        <v>9.6000000000000002E-2</v>
      </c>
      <c r="T38" s="83">
        <f t="shared" si="18"/>
        <v>-1.3499452238966425E-3</v>
      </c>
      <c r="W38" s="80"/>
      <c r="X38" s="81">
        <f t="shared" si="2"/>
        <v>6.8329169442361865E-2</v>
      </c>
      <c r="Y38">
        <f t="shared" si="19"/>
        <v>0.52723819773610869</v>
      </c>
      <c r="Z38" s="81">
        <f t="shared" si="20"/>
        <v>40.394228040143275</v>
      </c>
    </row>
    <row r="39" spans="1:26" hidden="1" x14ac:dyDescent="0.35">
      <c r="A39" s="36">
        <v>0.15</v>
      </c>
      <c r="B39" s="8">
        <v>1E-3</v>
      </c>
      <c r="C39" s="5">
        <f t="shared" si="21"/>
        <v>0.1</v>
      </c>
      <c r="D39" s="2">
        <v>100</v>
      </c>
      <c r="E39" s="5">
        <f t="shared" si="22"/>
        <v>100.1</v>
      </c>
      <c r="F39" s="5">
        <f t="shared" si="23"/>
        <v>9.9999999999994316E-2</v>
      </c>
      <c r="G39" s="8">
        <f t="shared" si="24"/>
        <v>5.9841342060214901E-2</v>
      </c>
      <c r="H39" s="5">
        <f t="shared" si="25"/>
        <v>5.9841342060214897</v>
      </c>
      <c r="I39" s="80">
        <f t="shared" si="9"/>
        <v>5.931650615508822</v>
      </c>
      <c r="J39" s="80">
        <f t="shared" si="0"/>
        <v>0.99122954320445278</v>
      </c>
      <c r="K39" s="2">
        <f t="shared" si="10"/>
        <v>0.11351841260593173</v>
      </c>
      <c r="L39" s="5">
        <f t="shared" si="11"/>
        <v>0.15</v>
      </c>
      <c r="M39" s="80">
        <f t="shared" si="1"/>
        <v>-3.648158739406826E-2</v>
      </c>
      <c r="N39" s="80">
        <f t="shared" si="12"/>
        <v>6.6633355538894884E-3</v>
      </c>
      <c r="O39" s="6">
        <f t="shared" si="13"/>
        <v>0</v>
      </c>
      <c r="P39" s="6">
        <f t="shared" si="14"/>
        <v>0</v>
      </c>
      <c r="Q39" s="6">
        <f t="shared" si="15"/>
        <v>0</v>
      </c>
      <c r="R39" s="6">
        <f t="shared" si="16"/>
        <v>0</v>
      </c>
      <c r="S39" s="6">
        <f t="shared" si="17"/>
        <v>0.11249999999999999</v>
      </c>
      <c r="T39" s="83">
        <f t="shared" si="18"/>
        <v>1.0184126059317455E-3</v>
      </c>
      <c r="W39" s="80"/>
      <c r="X39" s="81">
        <f t="shared" si="2"/>
        <v>8.166333555388948E-2</v>
      </c>
      <c r="Y39">
        <f t="shared" si="19"/>
        <v>0.53254278253532117</v>
      </c>
      <c r="Z39" s="81">
        <f t="shared" si="20"/>
        <v>40.394228040143275</v>
      </c>
    </row>
    <row r="40" spans="1:26" hidden="1" x14ac:dyDescent="0.35">
      <c r="A40" s="36">
        <v>0.2</v>
      </c>
      <c r="B40" s="8">
        <v>1E-3</v>
      </c>
      <c r="C40" s="5">
        <f t="shared" si="21"/>
        <v>0.1</v>
      </c>
      <c r="D40" s="2">
        <v>100</v>
      </c>
      <c r="E40" s="5">
        <f t="shared" si="22"/>
        <v>100.1</v>
      </c>
      <c r="F40" s="5">
        <f t="shared" si="23"/>
        <v>9.9999999999994316E-2</v>
      </c>
      <c r="G40" s="8">
        <f t="shared" si="24"/>
        <v>7.9788456080286549E-2</v>
      </c>
      <c r="H40" s="5">
        <f t="shared" si="25"/>
        <v>7.9788456080286547</v>
      </c>
      <c r="I40" s="80">
        <f t="shared" si="9"/>
        <v>7.9196494274758535</v>
      </c>
      <c r="J40" s="80">
        <f t="shared" si="0"/>
        <v>0.99258085900380932</v>
      </c>
      <c r="K40" s="2">
        <f t="shared" si="10"/>
        <v>0.13428587297994202</v>
      </c>
      <c r="L40" s="5">
        <f t="shared" si="11"/>
        <v>0.2</v>
      </c>
      <c r="M40" s="80">
        <f t="shared" si="1"/>
        <v>-6.5714127020057994E-2</v>
      </c>
      <c r="N40" s="80">
        <f t="shared" si="12"/>
        <v>4.9975016654171161E-3</v>
      </c>
      <c r="O40" s="6">
        <f t="shared" si="13"/>
        <v>0</v>
      </c>
      <c r="P40" s="6">
        <f t="shared" si="14"/>
        <v>0</v>
      </c>
      <c r="Q40" s="6">
        <f t="shared" si="15"/>
        <v>0</v>
      </c>
      <c r="R40" s="6">
        <f t="shared" si="16"/>
        <v>0</v>
      </c>
      <c r="S40" s="6">
        <f t="shared" si="17"/>
        <v>0.13333333333333333</v>
      </c>
      <c r="T40" s="83">
        <f t="shared" si="18"/>
        <v>9.5253964660868551E-4</v>
      </c>
      <c r="W40" s="80"/>
      <c r="X40" s="81">
        <f t="shared" si="2"/>
        <v>0.10499750166541712</v>
      </c>
      <c r="Y40">
        <f t="shared" si="19"/>
        <v>0.54181110442742386</v>
      </c>
      <c r="Z40" s="81">
        <f t="shared" si="20"/>
        <v>40.394228040143275</v>
      </c>
    </row>
    <row r="41" spans="1:26" hidden="1" x14ac:dyDescent="0.35">
      <c r="A41" s="36">
        <v>0.25</v>
      </c>
      <c r="B41" s="8">
        <v>1E-3</v>
      </c>
      <c r="C41" s="5">
        <f t="shared" si="21"/>
        <v>0.1</v>
      </c>
      <c r="D41" s="2">
        <v>100</v>
      </c>
      <c r="E41" s="5">
        <f t="shared" si="22"/>
        <v>100.1</v>
      </c>
      <c r="F41" s="5">
        <f t="shared" si="23"/>
        <v>9.9999999999994316E-2</v>
      </c>
      <c r="G41" s="8">
        <f t="shared" si="24"/>
        <v>9.9735570100358176E-2</v>
      </c>
      <c r="H41" s="5">
        <f t="shared" si="25"/>
        <v>9.9735570100358171</v>
      </c>
      <c r="I41" s="80">
        <f t="shared" si="9"/>
        <v>9.9026979163785356</v>
      </c>
      <c r="J41" s="80">
        <f t="shared" si="0"/>
        <v>0.99289530369295731</v>
      </c>
      <c r="K41" s="2">
        <f t="shared" si="10"/>
        <v>0.14025137562264495</v>
      </c>
      <c r="L41" s="5">
        <f t="shared" si="11"/>
        <v>0.25</v>
      </c>
      <c r="M41" s="80">
        <f t="shared" si="1"/>
        <v>-0.10974862437735505</v>
      </c>
      <c r="N41" s="80">
        <f t="shared" si="12"/>
        <v>3.9980013323336928E-3</v>
      </c>
      <c r="O41" s="6">
        <f t="shared" si="13"/>
        <v>0</v>
      </c>
      <c r="P41" s="6">
        <f t="shared" si="14"/>
        <v>0</v>
      </c>
      <c r="Q41" s="6">
        <f t="shared" si="15"/>
        <v>0</v>
      </c>
      <c r="R41" s="6">
        <f t="shared" si="16"/>
        <v>0</v>
      </c>
      <c r="S41" s="6">
        <f t="shared" si="17"/>
        <v>0.14583333333333331</v>
      </c>
      <c r="T41" s="83">
        <f t="shared" si="18"/>
        <v>-5.5819577106883678E-3</v>
      </c>
      <c r="W41" s="80"/>
      <c r="X41" s="81">
        <f t="shared" si="2"/>
        <v>0.12899800133233369</v>
      </c>
      <c r="Y41">
        <f t="shared" si="19"/>
        <v>0.55132038483920731</v>
      </c>
      <c r="Z41" s="81">
        <f t="shared" si="20"/>
        <v>40.394228040143275</v>
      </c>
    </row>
    <row r="42" spans="1:26" hidden="1" x14ac:dyDescent="0.35">
      <c r="A42" s="36">
        <v>0.3</v>
      </c>
      <c r="B42" s="8">
        <v>1E-3</v>
      </c>
      <c r="C42" s="5">
        <f t="shared" si="21"/>
        <v>0.1</v>
      </c>
      <c r="D42" s="2">
        <v>100</v>
      </c>
      <c r="E42" s="5">
        <f t="shared" si="22"/>
        <v>100.1</v>
      </c>
      <c r="F42" s="5">
        <f t="shared" si="23"/>
        <v>9.9999999999994316E-2</v>
      </c>
      <c r="G42" s="8">
        <f t="shared" si="24"/>
        <v>0.1196826841204298</v>
      </c>
      <c r="H42" s="5">
        <f t="shared" si="25"/>
        <v>11.968268412042979</v>
      </c>
      <c r="I42" s="80">
        <f t="shared" si="9"/>
        <v>11.879565956927159</v>
      </c>
      <c r="J42" s="80">
        <f t="shared" si="0"/>
        <v>0.9925885305992499</v>
      </c>
      <c r="K42" s="2">
        <f t="shared" si="10"/>
        <v>0.13442539082275565</v>
      </c>
      <c r="L42" s="5">
        <f t="shared" si="11"/>
        <v>0.3</v>
      </c>
      <c r="M42" s="80">
        <f t="shared" si="1"/>
        <v>-0.16557460917724434</v>
      </c>
      <c r="N42" s="80">
        <f t="shared" si="12"/>
        <v>3.3316677769447442E-3</v>
      </c>
      <c r="O42" s="6">
        <f t="shared" si="13"/>
        <v>0</v>
      </c>
      <c r="P42" s="6">
        <f t="shared" si="14"/>
        <v>0</v>
      </c>
      <c r="Q42" s="6">
        <f t="shared" si="15"/>
        <v>0</v>
      </c>
      <c r="R42" s="6">
        <f t="shared" si="16"/>
        <v>0</v>
      </c>
      <c r="S42" s="6">
        <f t="shared" si="17"/>
        <v>0.15</v>
      </c>
      <c r="T42" s="83">
        <f t="shared" si="18"/>
        <v>-1.5574609177244347E-2</v>
      </c>
      <c r="W42" s="80"/>
      <c r="X42" s="81">
        <f t="shared" si="2"/>
        <v>0.15333166777694474</v>
      </c>
      <c r="Y42">
        <f t="shared" si="19"/>
        <v>0.56093163566556081</v>
      </c>
      <c r="Z42" s="81">
        <f t="shared" si="20"/>
        <v>40.394228040143275</v>
      </c>
    </row>
    <row r="43" spans="1:26" hidden="1" x14ac:dyDescent="0.35">
      <c r="A43" s="36">
        <v>0.35</v>
      </c>
      <c r="B43" s="8">
        <v>1E-3</v>
      </c>
      <c r="C43" s="5">
        <f t="shared" si="21"/>
        <v>0.1</v>
      </c>
      <c r="D43" s="2">
        <v>100</v>
      </c>
      <c r="E43" s="5">
        <f t="shared" si="22"/>
        <v>100.1</v>
      </c>
      <c r="F43" s="5">
        <f t="shared" si="23"/>
        <v>9.9999999999994316E-2</v>
      </c>
      <c r="G43" s="8">
        <f t="shared" si="24"/>
        <v>0.13962979814050144</v>
      </c>
      <c r="H43" s="5">
        <f t="shared" si="25"/>
        <v>13.962979814050144</v>
      </c>
      <c r="I43" s="80">
        <f t="shared" si="9"/>
        <v>13.849038757487698</v>
      </c>
      <c r="J43" s="80">
        <f t="shared" si="0"/>
        <v>0.99183977502797838</v>
      </c>
      <c r="K43" s="2">
        <f t="shared" si="10"/>
        <v>0.12204495820445781</v>
      </c>
      <c r="L43" s="5">
        <f t="shared" si="11"/>
        <v>0.35</v>
      </c>
      <c r="M43" s="80">
        <f t="shared" si="1"/>
        <v>-0.22795504179554216</v>
      </c>
      <c r="N43" s="80">
        <f t="shared" si="12"/>
        <v>2.8557152373812093E-3</v>
      </c>
      <c r="O43" s="6">
        <f t="shared" si="13"/>
        <v>0</v>
      </c>
      <c r="P43" s="6">
        <f t="shared" si="14"/>
        <v>0</v>
      </c>
      <c r="Q43" s="6">
        <f t="shared" si="15"/>
        <v>0</v>
      </c>
      <c r="R43" s="6">
        <f t="shared" si="16"/>
        <v>0</v>
      </c>
      <c r="S43" s="6">
        <f t="shared" si="17"/>
        <v>0.14583333333333334</v>
      </c>
      <c r="T43" s="83">
        <f t="shared" si="18"/>
        <v>-2.3788375128875536E-2</v>
      </c>
      <c r="W43" s="80"/>
      <c r="X43" s="81">
        <f t="shared" si="2"/>
        <v>0.1778557152373812</v>
      </c>
      <c r="Y43">
        <f t="shared" si="19"/>
        <v>0.57058185481123513</v>
      </c>
      <c r="Z43" s="81">
        <f t="shared" si="20"/>
        <v>40.394228040143275</v>
      </c>
    </row>
    <row r="44" spans="1:26" hidden="1" x14ac:dyDescent="0.35">
      <c r="A44" s="36">
        <v>0.4</v>
      </c>
      <c r="B44" s="8">
        <v>1E-3</v>
      </c>
      <c r="C44" s="5">
        <f t="shared" si="21"/>
        <v>0.1</v>
      </c>
      <c r="D44" s="2">
        <v>100</v>
      </c>
      <c r="E44" s="5">
        <f t="shared" si="22"/>
        <v>100.1</v>
      </c>
      <c r="F44" s="5">
        <f t="shared" si="23"/>
        <v>9.9999999999994316E-2</v>
      </c>
      <c r="G44" s="8">
        <f t="shared" si="24"/>
        <v>0.1595769121605731</v>
      </c>
      <c r="H44" s="5">
        <f t="shared" si="25"/>
        <v>15.957691216057309</v>
      </c>
      <c r="I44" s="80">
        <f t="shared" si="9"/>
        <v>15.809916714650946</v>
      </c>
      <c r="J44" s="80">
        <f t="shared" si="0"/>
        <v>0.99073960641263281</v>
      </c>
      <c r="K44" s="2">
        <f t="shared" si="10"/>
        <v>0.10748599552394142</v>
      </c>
      <c r="L44" s="5">
        <f t="shared" si="11"/>
        <v>0.4</v>
      </c>
      <c r="M44" s="80">
        <f t="shared" si="1"/>
        <v>-0.29251400447605858</v>
      </c>
      <c r="N44" s="80">
        <f t="shared" si="12"/>
        <v>2.498750832708558E-3</v>
      </c>
      <c r="O44" s="6">
        <f t="shared" si="13"/>
        <v>0</v>
      </c>
      <c r="P44" s="6">
        <f t="shared" si="14"/>
        <v>0</v>
      </c>
      <c r="Q44" s="6">
        <f t="shared" si="15"/>
        <v>0</v>
      </c>
      <c r="R44" s="6">
        <f t="shared" si="16"/>
        <v>0</v>
      </c>
      <c r="S44" s="6">
        <f t="shared" si="17"/>
        <v>0.1333333333333333</v>
      </c>
      <c r="T44" s="83">
        <f t="shared" si="18"/>
        <v>-2.5847337809391885E-2</v>
      </c>
      <c r="W44" s="80"/>
      <c r="X44" s="81">
        <f t="shared" si="2"/>
        <v>0.20249875083270857</v>
      </c>
      <c r="Y44">
        <f t="shared" si="19"/>
        <v>0.58023658256302779</v>
      </c>
      <c r="Z44" s="81">
        <f t="shared" si="20"/>
        <v>40.394228040143275</v>
      </c>
    </row>
    <row r="45" spans="1:26" hidden="1" x14ac:dyDescent="0.35">
      <c r="A45" s="36">
        <v>0.5</v>
      </c>
      <c r="B45" s="8">
        <v>1E-3</v>
      </c>
      <c r="C45" s="5">
        <f t="shared" si="21"/>
        <v>0.1</v>
      </c>
      <c r="D45" s="2">
        <v>100</v>
      </c>
      <c r="E45" s="5">
        <f t="shared" si="22"/>
        <v>100.1</v>
      </c>
      <c r="F45" s="5">
        <f t="shared" si="23"/>
        <v>9.9999999999994316E-2</v>
      </c>
      <c r="G45" s="8">
        <f t="shared" si="24"/>
        <v>0.19947114020071635</v>
      </c>
      <c r="H45" s="5">
        <f t="shared" si="25"/>
        <v>19.947114020071634</v>
      </c>
      <c r="I45" s="80">
        <f t="shared" si="9"/>
        <v>19.701174416630529</v>
      </c>
      <c r="J45" s="80">
        <f t="shared" si="0"/>
        <v>0.98767041672325984</v>
      </c>
      <c r="K45" s="2">
        <f t="shared" si="10"/>
        <v>8.0604708133621528E-2</v>
      </c>
      <c r="L45" s="5">
        <f t="shared" si="11"/>
        <v>0.5</v>
      </c>
      <c r="M45" s="80">
        <f t="shared" si="1"/>
        <v>-0.41939529186637847</v>
      </c>
      <c r="N45" s="80">
        <f t="shared" si="12"/>
        <v>1.9990006661668464E-3</v>
      </c>
      <c r="O45" s="6">
        <f t="shared" si="13"/>
        <v>0</v>
      </c>
      <c r="P45" s="6">
        <f t="shared" si="14"/>
        <v>0</v>
      </c>
      <c r="Q45" s="6">
        <f t="shared" si="15"/>
        <v>0</v>
      </c>
      <c r="R45" s="6">
        <f t="shared" si="16"/>
        <v>0</v>
      </c>
      <c r="S45" s="6">
        <f t="shared" si="17"/>
        <v>8.3333333333333315E-2</v>
      </c>
      <c r="T45" s="83">
        <f t="shared" si="18"/>
        <v>-2.7286251997117872E-3</v>
      </c>
      <c r="W45" s="80"/>
      <c r="X45" s="81">
        <f t="shared" si="2"/>
        <v>0.25199900066616687</v>
      </c>
      <c r="Y45">
        <f t="shared" si="19"/>
        <v>0.59947908188267496</v>
      </c>
      <c r="Z45" s="81">
        <f t="shared" si="20"/>
        <v>40.394228040143275</v>
      </c>
    </row>
    <row r="46" spans="1:26" hidden="1" x14ac:dyDescent="0.35">
      <c r="A46" s="36">
        <v>0.6</v>
      </c>
      <c r="B46" s="8">
        <v>1E-3</v>
      </c>
      <c r="C46" s="5">
        <f t="shared" si="21"/>
        <v>0.1</v>
      </c>
      <c r="D46" s="2">
        <v>100</v>
      </c>
      <c r="E46" s="5">
        <f t="shared" si="22"/>
        <v>100.1</v>
      </c>
      <c r="F46" s="5">
        <f t="shared" si="23"/>
        <v>9.9999999999994316E-2</v>
      </c>
      <c r="G46" s="8">
        <f t="shared" si="24"/>
        <v>0.23936536824085961</v>
      </c>
      <c r="H46" s="5">
        <f t="shared" si="25"/>
        <v>23.936536824085959</v>
      </c>
      <c r="I46" s="80">
        <f t="shared" si="9"/>
        <v>23.544107346438807</v>
      </c>
      <c r="J46" s="80">
        <f t="shared" si="0"/>
        <v>0.98360541959218295</v>
      </c>
      <c r="K46" s="2">
        <f t="shared" si="10"/>
        <v>6.0494389064380275E-2</v>
      </c>
      <c r="L46" s="5">
        <f t="shared" si="11"/>
        <v>0.6</v>
      </c>
      <c r="M46" s="80">
        <f t="shared" si="1"/>
        <v>-0.53950561093561966</v>
      </c>
      <c r="N46" s="80">
        <f t="shared" si="12"/>
        <v>1.6658338884723721E-3</v>
      </c>
      <c r="O46" s="6">
        <f t="shared" si="13"/>
        <v>0</v>
      </c>
      <c r="P46" s="6">
        <f t="shared" si="14"/>
        <v>0</v>
      </c>
      <c r="Q46" s="6">
        <f t="shared" si="15"/>
        <v>0</v>
      </c>
      <c r="R46" s="6">
        <f t="shared" si="16"/>
        <v>0</v>
      </c>
      <c r="S46" s="6">
        <f t="shared" si="17"/>
        <v>0</v>
      </c>
      <c r="T46" s="83">
        <f t="shared" si="18"/>
        <v>6.0494389064380275E-2</v>
      </c>
      <c r="W46" s="80"/>
      <c r="X46" s="81">
        <f t="shared" si="2"/>
        <v>0.30166583388847235</v>
      </c>
      <c r="Y46">
        <f t="shared" si="19"/>
        <v>0.6185465919164862</v>
      </c>
      <c r="Z46" s="81">
        <f t="shared" si="20"/>
        <v>40.394228040143275</v>
      </c>
    </row>
    <row r="47" spans="1:26" hidden="1" x14ac:dyDescent="0.35">
      <c r="A47" s="36">
        <v>0.01</v>
      </c>
      <c r="B47" s="8">
        <v>2E-3</v>
      </c>
      <c r="C47" s="5">
        <f t="shared" si="21"/>
        <v>0.2</v>
      </c>
      <c r="D47" s="2">
        <v>100</v>
      </c>
      <c r="E47" s="5">
        <f t="shared" si="22"/>
        <v>100.2</v>
      </c>
      <c r="F47" s="5">
        <f t="shared" si="23"/>
        <v>0.20000000000000284</v>
      </c>
      <c r="G47" s="8">
        <f t="shared" si="24"/>
        <v>3.9894228040143268E-3</v>
      </c>
      <c r="H47" s="5">
        <f t="shared" si="25"/>
        <v>0.39894228040143265</v>
      </c>
      <c r="I47" s="80">
        <f t="shared" si="9"/>
        <v>0.30728392511564806</v>
      </c>
      <c r="J47" s="80">
        <f t="shared" si="0"/>
        <v>0.77024657503447846</v>
      </c>
      <c r="K47" s="2">
        <f t="shared" si="10"/>
        <v>7.6615263879626196E-3</v>
      </c>
      <c r="L47" s="5">
        <f t="shared" si="11"/>
        <v>0.01</v>
      </c>
      <c r="M47" s="80">
        <f t="shared" si="1"/>
        <v>-2.3384736120373806E-3</v>
      </c>
      <c r="N47" s="80">
        <f t="shared" si="12"/>
        <v>0.19980026626730579</v>
      </c>
      <c r="O47" s="6">
        <f t="shared" si="13"/>
        <v>0</v>
      </c>
      <c r="P47" s="6">
        <f t="shared" si="14"/>
        <v>0</v>
      </c>
      <c r="Q47" s="6">
        <f t="shared" si="15"/>
        <v>0</v>
      </c>
      <c r="R47" s="6">
        <f t="shared" si="16"/>
        <v>0</v>
      </c>
      <c r="S47" s="6">
        <f t="shared" si="17"/>
        <v>9.8571428571428577E-3</v>
      </c>
      <c r="T47" s="83">
        <f t="shared" si="18"/>
        <v>-2.1956164691802381E-3</v>
      </c>
      <c r="W47" s="80"/>
      <c r="X47" s="81">
        <f t="shared" si="2"/>
        <v>0.2048002662673058</v>
      </c>
      <c r="Y47">
        <f t="shared" si="19"/>
        <v>0.58113591051434499</v>
      </c>
      <c r="Z47" s="81">
        <f t="shared" si="20"/>
        <v>40.394228040143275</v>
      </c>
    </row>
    <row r="48" spans="1:26" hidden="1" x14ac:dyDescent="0.35">
      <c r="A48" s="36">
        <v>0.02</v>
      </c>
      <c r="B48" s="8">
        <v>2E-3</v>
      </c>
      <c r="C48" s="5">
        <f t="shared" si="21"/>
        <v>0.2</v>
      </c>
      <c r="D48" s="2">
        <v>100</v>
      </c>
      <c r="E48" s="5">
        <f t="shared" si="22"/>
        <v>100.2</v>
      </c>
      <c r="F48" s="5">
        <f t="shared" si="23"/>
        <v>0.20000000000000284</v>
      </c>
      <c r="G48" s="8">
        <f t="shared" si="24"/>
        <v>7.9788456080286535E-3</v>
      </c>
      <c r="H48" s="5">
        <f t="shared" si="25"/>
        <v>0.79788456080286529</v>
      </c>
      <c r="I48" s="80">
        <f t="shared" si="9"/>
        <v>0.70265106218566586</v>
      </c>
      <c r="J48" s="80">
        <f t="shared" si="0"/>
        <v>0.88064250983704784</v>
      </c>
      <c r="K48" s="2">
        <f t="shared" si="10"/>
        <v>1.5735206298538754E-2</v>
      </c>
      <c r="L48" s="5">
        <f t="shared" si="11"/>
        <v>0.02</v>
      </c>
      <c r="M48" s="80">
        <f t="shared" si="1"/>
        <v>-4.2647937014612461E-3</v>
      </c>
      <c r="N48" s="80">
        <f t="shared" si="12"/>
        <v>9.9900133133652896E-2</v>
      </c>
      <c r="O48" s="6">
        <f t="shared" si="13"/>
        <v>0</v>
      </c>
      <c r="P48" s="6">
        <f t="shared" si="14"/>
        <v>0</v>
      </c>
      <c r="Q48" s="6">
        <f t="shared" si="15"/>
        <v>0</v>
      </c>
      <c r="R48" s="6">
        <f t="shared" si="16"/>
        <v>0</v>
      </c>
      <c r="S48" s="6">
        <f t="shared" si="17"/>
        <v>1.942857142857143E-2</v>
      </c>
      <c r="T48" s="83">
        <f t="shared" si="18"/>
        <v>-3.6933651300326761E-3</v>
      </c>
      <c r="W48" s="80"/>
      <c r="X48" s="81">
        <f t="shared" si="2"/>
        <v>0.10990013313365289</v>
      </c>
      <c r="Y48">
        <f t="shared" si="19"/>
        <v>0.54375571152054447</v>
      </c>
      <c r="Z48" s="81">
        <f t="shared" si="20"/>
        <v>40.394228040143275</v>
      </c>
    </row>
    <row r="49" spans="1:26" hidden="1" x14ac:dyDescent="0.35">
      <c r="A49" s="36">
        <v>0.05</v>
      </c>
      <c r="B49" s="8">
        <v>2E-3</v>
      </c>
      <c r="C49" s="5">
        <f t="shared" si="21"/>
        <v>0.2</v>
      </c>
      <c r="D49" s="2">
        <v>100</v>
      </c>
      <c r="E49" s="5">
        <f t="shared" si="22"/>
        <v>100.2</v>
      </c>
      <c r="F49" s="5">
        <f t="shared" si="23"/>
        <v>0.20000000000000284</v>
      </c>
      <c r="G49" s="8">
        <f t="shared" si="24"/>
        <v>1.9947114020071637E-2</v>
      </c>
      <c r="H49" s="5">
        <f t="shared" si="25"/>
        <v>1.9947114020071637</v>
      </c>
      <c r="I49" s="80">
        <f t="shared" si="9"/>
        <v>1.8980916078968804</v>
      </c>
      <c r="J49" s="80">
        <f t="shared" si="0"/>
        <v>0.95156201843882759</v>
      </c>
      <c r="K49" s="2">
        <f t="shared" si="10"/>
        <v>4.0281637350985181E-2</v>
      </c>
      <c r="L49" s="5">
        <f t="shared" si="11"/>
        <v>0.05</v>
      </c>
      <c r="M49" s="80">
        <f t="shared" si="1"/>
        <v>-9.7183626490148223E-3</v>
      </c>
      <c r="N49" s="80">
        <f t="shared" si="12"/>
        <v>3.9960053253461157E-2</v>
      </c>
      <c r="O49" s="6">
        <f t="shared" si="13"/>
        <v>0</v>
      </c>
      <c r="P49" s="6">
        <f t="shared" si="14"/>
        <v>0</v>
      </c>
      <c r="Q49" s="6">
        <f t="shared" si="15"/>
        <v>0</v>
      </c>
      <c r="R49" s="6">
        <f t="shared" si="16"/>
        <v>0</v>
      </c>
      <c r="S49" s="6">
        <f t="shared" si="17"/>
        <v>4.642857142857143E-2</v>
      </c>
      <c r="T49" s="83">
        <f t="shared" si="18"/>
        <v>-6.1469340775862497E-3</v>
      </c>
      <c r="W49" s="80"/>
      <c r="X49" s="81">
        <f t="shared" si="2"/>
        <v>6.4960053253461159E-2</v>
      </c>
      <c r="Y49">
        <f t="shared" si="19"/>
        <v>0.5258970970352812</v>
      </c>
      <c r="Z49" s="81">
        <f t="shared" si="20"/>
        <v>40.394228040143275</v>
      </c>
    </row>
    <row r="50" spans="1:26" hidden="1" x14ac:dyDescent="0.35">
      <c r="A50" s="36">
        <v>0.08</v>
      </c>
      <c r="B50" s="8">
        <v>2E-3</v>
      </c>
      <c r="C50" s="5">
        <f t="shared" si="21"/>
        <v>0.2</v>
      </c>
      <c r="D50" s="2">
        <v>100</v>
      </c>
      <c r="E50" s="5">
        <f t="shared" si="22"/>
        <v>100.2</v>
      </c>
      <c r="F50" s="5">
        <f t="shared" si="23"/>
        <v>0.20000000000000284</v>
      </c>
      <c r="G50" s="8">
        <f t="shared" si="24"/>
        <v>3.1915382432114614E-2</v>
      </c>
      <c r="H50" s="5">
        <f t="shared" si="25"/>
        <v>3.1915382432114612</v>
      </c>
      <c r="I50" s="80">
        <f t="shared" si="9"/>
        <v>3.0948735690125631</v>
      </c>
      <c r="J50" s="80">
        <f t="shared" si="0"/>
        <v>0.96971219931188102</v>
      </c>
      <c r="K50" s="2">
        <f t="shared" si="10"/>
        <v>6.5028060868802598E-2</v>
      </c>
      <c r="L50" s="5">
        <f t="shared" si="11"/>
        <v>0.08</v>
      </c>
      <c r="M50" s="80">
        <f t="shared" si="1"/>
        <v>-1.4971939131197404E-2</v>
      </c>
      <c r="N50" s="80">
        <f t="shared" si="12"/>
        <v>2.4975033283413224E-2</v>
      </c>
      <c r="O50" s="6">
        <f t="shared" si="13"/>
        <v>0</v>
      </c>
      <c r="P50" s="6">
        <f t="shared" si="14"/>
        <v>0</v>
      </c>
      <c r="Q50" s="6">
        <f t="shared" si="15"/>
        <v>0</v>
      </c>
      <c r="R50" s="6">
        <f t="shared" si="16"/>
        <v>0</v>
      </c>
      <c r="S50" s="6">
        <f t="shared" si="17"/>
        <v>7.0857142857142855E-2</v>
      </c>
      <c r="T50" s="83">
        <f t="shared" si="18"/>
        <v>-5.8290819883402567E-3</v>
      </c>
      <c r="W50" s="80"/>
      <c r="X50" s="81">
        <f t="shared" si="2"/>
        <v>6.4975033283413225E-2</v>
      </c>
      <c r="Y50">
        <f t="shared" si="19"/>
        <v>0.52590306060384073</v>
      </c>
      <c r="Z50" s="81">
        <f t="shared" si="20"/>
        <v>40.394228040143275</v>
      </c>
    </row>
    <row r="51" spans="1:26" hidden="1" x14ac:dyDescent="0.35">
      <c r="A51" s="36">
        <v>0.1</v>
      </c>
      <c r="B51" s="8">
        <v>2E-3</v>
      </c>
      <c r="C51" s="5">
        <f t="shared" si="21"/>
        <v>0.2</v>
      </c>
      <c r="D51" s="2">
        <v>100</v>
      </c>
      <c r="E51" s="5">
        <f t="shared" si="22"/>
        <v>100.2</v>
      </c>
      <c r="F51" s="5">
        <f t="shared" si="23"/>
        <v>0.20000000000000284</v>
      </c>
      <c r="G51" s="8">
        <f t="shared" si="24"/>
        <v>3.9894228040143274E-2</v>
      </c>
      <c r="H51" s="5">
        <f t="shared" si="25"/>
        <v>3.9894228040143274</v>
      </c>
      <c r="I51" s="80">
        <f t="shared" si="9"/>
        <v>3.8925449942948731</v>
      </c>
      <c r="J51" s="80">
        <f t="shared" ref="J51:J82" si="26">I51/H51</f>
        <v>0.97571633429728943</v>
      </c>
      <c r="K51" s="2">
        <f t="shared" si="10"/>
        <v>8.1355791326507637E-2</v>
      </c>
      <c r="L51" s="5">
        <f t="shared" si="11"/>
        <v>0.1</v>
      </c>
      <c r="M51" s="80">
        <f t="shared" si="1"/>
        <v>-1.8644208673492368E-2</v>
      </c>
      <c r="N51" s="80">
        <f t="shared" si="12"/>
        <v>1.9980026626730579E-2</v>
      </c>
      <c r="O51" s="6">
        <f t="shared" si="13"/>
        <v>0</v>
      </c>
      <c r="P51" s="6">
        <f t="shared" si="14"/>
        <v>0</v>
      </c>
      <c r="Q51" s="6">
        <f t="shared" si="15"/>
        <v>0</v>
      </c>
      <c r="R51" s="6">
        <f t="shared" si="16"/>
        <v>0</v>
      </c>
      <c r="S51" s="6">
        <f t="shared" si="17"/>
        <v>8.5714285714285715E-2</v>
      </c>
      <c r="T51" s="83">
        <f t="shared" si="18"/>
        <v>-4.358494387778078E-3</v>
      </c>
      <c r="W51" s="80"/>
      <c r="X51" s="81">
        <f t="shared" si="2"/>
        <v>6.9980026626730585E-2</v>
      </c>
      <c r="Y51">
        <f t="shared" si="19"/>
        <v>0.5278952214501369</v>
      </c>
      <c r="Z51" s="81">
        <f t="shared" si="20"/>
        <v>40.394228040143275</v>
      </c>
    </row>
    <row r="52" spans="1:26" hidden="1" x14ac:dyDescent="0.35">
      <c r="A52" s="36">
        <v>0.12</v>
      </c>
      <c r="B52" s="8">
        <v>2E-3</v>
      </c>
      <c r="C52" s="5">
        <f t="shared" si="21"/>
        <v>0.2</v>
      </c>
      <c r="D52" s="2">
        <v>100</v>
      </c>
      <c r="E52" s="5">
        <f t="shared" si="22"/>
        <v>100.2</v>
      </c>
      <c r="F52" s="5">
        <f t="shared" si="23"/>
        <v>0.20000000000000284</v>
      </c>
      <c r="G52" s="8">
        <f t="shared" si="24"/>
        <v>4.7873073648171921E-2</v>
      </c>
      <c r="H52" s="5">
        <f t="shared" si="25"/>
        <v>4.7873073648171918</v>
      </c>
      <c r="I52" s="80">
        <f t="shared" si="9"/>
        <v>4.6898839972057331</v>
      </c>
      <c r="J52" s="80">
        <f t="shared" si="26"/>
        <v>0.97964965267794568</v>
      </c>
      <c r="K52" s="2">
        <f t="shared" si="10"/>
        <v>9.7274994233459963E-2</v>
      </c>
      <c r="L52" s="5">
        <f t="shared" si="11"/>
        <v>0.12</v>
      </c>
      <c r="M52" s="80">
        <f t="shared" si="1"/>
        <v>-2.2725005766540032E-2</v>
      </c>
      <c r="N52" s="80">
        <f t="shared" si="12"/>
        <v>1.6650022188942151E-2</v>
      </c>
      <c r="O52" s="6">
        <f t="shared" si="13"/>
        <v>0</v>
      </c>
      <c r="P52" s="6">
        <f t="shared" si="14"/>
        <v>0</v>
      </c>
      <c r="Q52" s="6">
        <f t="shared" si="15"/>
        <v>0</v>
      </c>
      <c r="R52" s="6">
        <f t="shared" si="16"/>
        <v>0</v>
      </c>
      <c r="S52" s="6">
        <f t="shared" si="17"/>
        <v>9.9428571428571422E-2</v>
      </c>
      <c r="T52" s="83">
        <f t="shared" si="18"/>
        <v>-2.1535771951114585E-3</v>
      </c>
      <c r="W52" s="80"/>
      <c r="X52" s="81">
        <f t="shared" si="2"/>
        <v>7.6650022188942152E-2</v>
      </c>
      <c r="Y52">
        <f t="shared" si="19"/>
        <v>0.5305490179899246</v>
      </c>
      <c r="Z52" s="81">
        <f t="shared" si="20"/>
        <v>40.394228040143275</v>
      </c>
    </row>
    <row r="53" spans="1:26" hidden="1" x14ac:dyDescent="0.35">
      <c r="A53" s="36">
        <v>0.15</v>
      </c>
      <c r="B53" s="8">
        <v>2E-3</v>
      </c>
      <c r="C53" s="5">
        <f t="shared" si="21"/>
        <v>0.2</v>
      </c>
      <c r="D53" s="2">
        <v>100</v>
      </c>
      <c r="E53" s="5">
        <f t="shared" si="22"/>
        <v>100.2</v>
      </c>
      <c r="F53" s="5">
        <f t="shared" si="23"/>
        <v>0.20000000000000284</v>
      </c>
      <c r="G53" s="8">
        <f t="shared" si="24"/>
        <v>5.9841342060214901E-2</v>
      </c>
      <c r="H53" s="5">
        <f t="shared" si="25"/>
        <v>5.9841342060214897</v>
      </c>
      <c r="I53" s="80">
        <f t="shared" si="9"/>
        <v>5.885037230896792</v>
      </c>
      <c r="J53" s="80">
        <f t="shared" si="26"/>
        <v>0.98344004801480189</v>
      </c>
      <c r="K53" s="2">
        <f t="shared" si="10"/>
        <v>0.11977051394818308</v>
      </c>
      <c r="L53" s="5">
        <f t="shared" si="11"/>
        <v>0.15</v>
      </c>
      <c r="M53" s="80">
        <f t="shared" si="1"/>
        <v>-3.0229486051816912E-2</v>
      </c>
      <c r="N53" s="80">
        <f t="shared" si="12"/>
        <v>1.3320017751153721E-2</v>
      </c>
      <c r="O53" s="6">
        <f t="shared" si="13"/>
        <v>0</v>
      </c>
      <c r="P53" s="6">
        <f t="shared" si="14"/>
        <v>0</v>
      </c>
      <c r="Q53" s="6">
        <f t="shared" si="15"/>
        <v>0</v>
      </c>
      <c r="R53" s="6">
        <f t="shared" si="16"/>
        <v>0</v>
      </c>
      <c r="S53" s="6">
        <f t="shared" si="17"/>
        <v>0.11785714285714285</v>
      </c>
      <c r="T53" s="83">
        <f t="shared" si="18"/>
        <v>1.913371091040228E-3</v>
      </c>
      <c r="W53" s="80"/>
      <c r="X53" s="81">
        <f t="shared" si="2"/>
        <v>8.8320017751153723E-2</v>
      </c>
      <c r="Y53">
        <f t="shared" si="19"/>
        <v>0.53518883536966277</v>
      </c>
      <c r="Z53" s="81">
        <f t="shared" si="20"/>
        <v>40.394228040143275</v>
      </c>
    </row>
    <row r="54" spans="1:26" hidden="1" x14ac:dyDescent="0.35">
      <c r="A54" s="36">
        <v>0.2</v>
      </c>
      <c r="B54" s="8">
        <v>2E-3</v>
      </c>
      <c r="C54" s="5">
        <f t="shared" si="21"/>
        <v>0.2</v>
      </c>
      <c r="D54" s="2">
        <v>100</v>
      </c>
      <c r="E54" s="5">
        <f t="shared" si="22"/>
        <v>100.2</v>
      </c>
      <c r="F54" s="5">
        <f t="shared" si="23"/>
        <v>0.20000000000000284</v>
      </c>
      <c r="G54" s="8">
        <f t="shared" si="24"/>
        <v>7.9788456080286549E-2</v>
      </c>
      <c r="H54" s="5">
        <f t="shared" si="25"/>
        <v>7.9788456080286547</v>
      </c>
      <c r="I54" s="80">
        <f t="shared" si="9"/>
        <v>7.8739295756536336</v>
      </c>
      <c r="J54" s="80">
        <f t="shared" si="26"/>
        <v>0.98685072533933349</v>
      </c>
      <c r="K54" s="2">
        <f t="shared" si="10"/>
        <v>0.15109743832407541</v>
      </c>
      <c r="L54" s="5">
        <f t="shared" si="11"/>
        <v>0.2</v>
      </c>
      <c r="M54" s="80">
        <f t="shared" si="1"/>
        <v>-4.8902561675924605E-2</v>
      </c>
      <c r="N54" s="80">
        <f t="shared" si="12"/>
        <v>9.9900133133652893E-3</v>
      </c>
      <c r="O54" s="6">
        <f t="shared" si="13"/>
        <v>0</v>
      </c>
      <c r="P54" s="6">
        <f t="shared" si="14"/>
        <v>0</v>
      </c>
      <c r="Q54" s="6">
        <f t="shared" si="15"/>
        <v>0</v>
      </c>
      <c r="R54" s="6">
        <f t="shared" si="16"/>
        <v>0</v>
      </c>
      <c r="S54" s="6">
        <f t="shared" si="17"/>
        <v>0.14285714285714285</v>
      </c>
      <c r="T54" s="83">
        <f t="shared" si="18"/>
        <v>8.2402954669325568E-3</v>
      </c>
      <c r="W54" s="80"/>
      <c r="X54" s="81">
        <f t="shared" si="2"/>
        <v>0.10999001331336529</v>
      </c>
      <c r="Y54">
        <f t="shared" si="19"/>
        <v>0.54379135245970944</v>
      </c>
      <c r="Z54" s="81">
        <f t="shared" si="20"/>
        <v>40.394228040143275</v>
      </c>
    </row>
    <row r="55" spans="1:26" hidden="1" x14ac:dyDescent="0.35">
      <c r="A55" s="36">
        <v>0.25</v>
      </c>
      <c r="B55" s="8">
        <v>2E-3</v>
      </c>
      <c r="C55" s="5">
        <f t="shared" si="21"/>
        <v>0.2</v>
      </c>
      <c r="D55" s="2">
        <v>100</v>
      </c>
      <c r="E55" s="5">
        <f t="shared" si="22"/>
        <v>100.2</v>
      </c>
      <c r="F55" s="5">
        <f t="shared" si="23"/>
        <v>0.20000000000000284</v>
      </c>
      <c r="G55" s="8">
        <f t="shared" si="24"/>
        <v>9.9735570100358176E-2</v>
      </c>
      <c r="H55" s="5">
        <f t="shared" si="25"/>
        <v>9.9735570100358171</v>
      </c>
      <c r="I55" s="80">
        <f t="shared" si="9"/>
        <v>9.8579089631794545</v>
      </c>
      <c r="J55" s="80">
        <f t="shared" si="26"/>
        <v>0.98840453343375967</v>
      </c>
      <c r="K55" s="2">
        <f t="shared" si="10"/>
        <v>0.17147925717777956</v>
      </c>
      <c r="L55" s="5">
        <f t="shared" si="11"/>
        <v>0.25</v>
      </c>
      <c r="M55" s="80">
        <f t="shared" si="1"/>
        <v>-7.8520742822220435E-2</v>
      </c>
      <c r="N55" s="80">
        <f t="shared" si="12"/>
        <v>7.9920106506922318E-3</v>
      </c>
      <c r="O55" s="6">
        <f t="shared" si="13"/>
        <v>0</v>
      </c>
      <c r="P55" s="6">
        <f t="shared" si="14"/>
        <v>0</v>
      </c>
      <c r="Q55" s="6">
        <f t="shared" si="15"/>
        <v>0</v>
      </c>
      <c r="R55" s="6">
        <f t="shared" si="16"/>
        <v>0</v>
      </c>
      <c r="S55" s="6">
        <f t="shared" si="17"/>
        <v>0.1607142857142857</v>
      </c>
      <c r="T55" s="83">
        <f t="shared" si="18"/>
        <v>1.0764971463493866E-2</v>
      </c>
      <c r="W55" s="80"/>
      <c r="X55" s="81">
        <f t="shared" si="2"/>
        <v>0.13299201065069224</v>
      </c>
      <c r="Y55">
        <f t="shared" si="19"/>
        <v>0.55290015052484598</v>
      </c>
      <c r="Z55" s="81">
        <f t="shared" si="20"/>
        <v>40.394228040143275</v>
      </c>
    </row>
    <row r="56" spans="1:26" hidden="1" x14ac:dyDescent="0.35">
      <c r="A56" s="36">
        <v>0.3</v>
      </c>
      <c r="B56" s="8">
        <v>2E-3</v>
      </c>
      <c r="C56" s="5">
        <f t="shared" si="21"/>
        <v>0.2</v>
      </c>
      <c r="D56" s="2">
        <v>100</v>
      </c>
      <c r="E56" s="5">
        <f t="shared" si="22"/>
        <v>100.2</v>
      </c>
      <c r="F56" s="5">
        <f t="shared" si="23"/>
        <v>0.20000000000000284</v>
      </c>
      <c r="G56" s="8">
        <f t="shared" si="24"/>
        <v>0.1196826841204298</v>
      </c>
      <c r="H56" s="5">
        <f t="shared" si="25"/>
        <v>11.968268412042979</v>
      </c>
      <c r="I56" s="80">
        <f t="shared" si="9"/>
        <v>11.835724735114113</v>
      </c>
      <c r="J56" s="80">
        <f t="shared" si="26"/>
        <v>0.98892540905955151</v>
      </c>
      <c r="K56" s="2">
        <f t="shared" si="10"/>
        <v>0.17959172168722581</v>
      </c>
      <c r="L56" s="5">
        <f t="shared" si="11"/>
        <v>0.3</v>
      </c>
      <c r="M56" s="80">
        <f t="shared" si="1"/>
        <v>-0.12040827831277418</v>
      </c>
      <c r="N56" s="80">
        <f t="shared" si="12"/>
        <v>6.6600088755768604E-3</v>
      </c>
      <c r="O56" s="6">
        <f t="shared" si="13"/>
        <v>0</v>
      </c>
      <c r="P56" s="6">
        <f t="shared" si="14"/>
        <v>0</v>
      </c>
      <c r="Q56" s="6">
        <f t="shared" si="15"/>
        <v>0</v>
      </c>
      <c r="R56" s="6">
        <f t="shared" si="16"/>
        <v>0</v>
      </c>
      <c r="S56" s="6">
        <f t="shared" si="17"/>
        <v>0.17142857142857143</v>
      </c>
      <c r="T56" s="83">
        <f t="shared" si="18"/>
        <v>8.1631502586543836E-3</v>
      </c>
      <c r="W56" s="80"/>
      <c r="X56" s="81">
        <f t="shared" si="2"/>
        <v>0.15666000887557685</v>
      </c>
      <c r="Y56">
        <f t="shared" si="19"/>
        <v>0.56224359693867654</v>
      </c>
      <c r="Z56" s="81">
        <f t="shared" si="20"/>
        <v>40.394228040143275</v>
      </c>
    </row>
    <row r="57" spans="1:26" hidden="1" x14ac:dyDescent="0.35">
      <c r="A57" s="36">
        <v>0.35</v>
      </c>
      <c r="B57" s="8">
        <v>2E-3</v>
      </c>
      <c r="C57" s="5">
        <f t="shared" si="21"/>
        <v>0.2</v>
      </c>
      <c r="D57" s="2">
        <v>100</v>
      </c>
      <c r="E57" s="5">
        <f t="shared" si="22"/>
        <v>100.2</v>
      </c>
      <c r="F57" s="5">
        <f t="shared" si="23"/>
        <v>0.20000000000000284</v>
      </c>
      <c r="G57" s="8">
        <f t="shared" si="24"/>
        <v>0.13962979814050144</v>
      </c>
      <c r="H57" s="5">
        <f t="shared" si="25"/>
        <v>13.962979814050144</v>
      </c>
      <c r="I57" s="80">
        <f t="shared" si="9"/>
        <v>13.806152956207121</v>
      </c>
      <c r="J57" s="80">
        <f t="shared" si="26"/>
        <v>0.9887683818259756</v>
      </c>
      <c r="K57" s="2">
        <f t="shared" si="10"/>
        <v>0.17706684889204985</v>
      </c>
      <c r="L57" s="5">
        <f t="shared" si="11"/>
        <v>0.35</v>
      </c>
      <c r="M57" s="80">
        <f t="shared" si="1"/>
        <v>-0.17293315110795013</v>
      </c>
      <c r="N57" s="80">
        <f t="shared" si="12"/>
        <v>5.7085790362087375E-3</v>
      </c>
      <c r="O57" s="6">
        <f t="shared" si="13"/>
        <v>0</v>
      </c>
      <c r="P57" s="6">
        <f t="shared" si="14"/>
        <v>0</v>
      </c>
      <c r="Q57" s="6">
        <f t="shared" si="15"/>
        <v>0</v>
      </c>
      <c r="R57" s="6">
        <f t="shared" si="16"/>
        <v>0</v>
      </c>
      <c r="S57" s="6">
        <f t="shared" si="17"/>
        <v>0.17499999999999999</v>
      </c>
      <c r="T57" s="83">
        <f t="shared" si="18"/>
        <v>2.0668488920498607E-3</v>
      </c>
      <c r="W57" s="80"/>
      <c r="X57" s="81">
        <f t="shared" si="2"/>
        <v>0.18070857903620874</v>
      </c>
      <c r="Y57">
        <f t="shared" si="19"/>
        <v>0.57170183772082439</v>
      </c>
      <c r="Z57" s="81">
        <f t="shared" si="20"/>
        <v>40.394228040143275</v>
      </c>
    </row>
    <row r="58" spans="1:26" hidden="1" x14ac:dyDescent="0.35">
      <c r="A58" s="36">
        <v>0.4</v>
      </c>
      <c r="B58" s="8">
        <v>2E-3</v>
      </c>
      <c r="C58" s="5">
        <f t="shared" si="21"/>
        <v>0.2</v>
      </c>
      <c r="D58" s="2">
        <v>100</v>
      </c>
      <c r="E58" s="5">
        <f t="shared" si="22"/>
        <v>100.2</v>
      </c>
      <c r="F58" s="5">
        <f t="shared" si="23"/>
        <v>0.20000000000000284</v>
      </c>
      <c r="G58" s="8">
        <f t="shared" si="24"/>
        <v>0.1595769121605731</v>
      </c>
      <c r="H58" s="5">
        <f t="shared" si="25"/>
        <v>15.957691216057309</v>
      </c>
      <c r="I58" s="80">
        <f t="shared" si="9"/>
        <v>15.767989155372014</v>
      </c>
      <c r="J58" s="80">
        <f t="shared" si="26"/>
        <v>0.98811218627326181</v>
      </c>
      <c r="K58" s="2">
        <f t="shared" si="10"/>
        <v>0.16723752050279322</v>
      </c>
      <c r="L58" s="5">
        <f t="shared" si="11"/>
        <v>0.4</v>
      </c>
      <c r="M58" s="80">
        <f t="shared" si="1"/>
        <v>-0.2327624794972068</v>
      </c>
      <c r="N58" s="80">
        <f t="shared" si="12"/>
        <v>4.9950066566826446E-3</v>
      </c>
      <c r="O58" s="6">
        <f t="shared" si="13"/>
        <v>0</v>
      </c>
      <c r="P58" s="6">
        <f t="shared" si="14"/>
        <v>0</v>
      </c>
      <c r="Q58" s="6">
        <f t="shared" si="15"/>
        <v>0</v>
      </c>
      <c r="R58" s="6">
        <f t="shared" si="16"/>
        <v>0</v>
      </c>
      <c r="S58" s="6">
        <f t="shared" si="17"/>
        <v>0.1714285714285714</v>
      </c>
      <c r="T58" s="83">
        <f t="shared" si="18"/>
        <v>-4.1910509257781781E-3</v>
      </c>
      <c r="W58" s="80"/>
      <c r="X58" s="81">
        <f t="shared" si="2"/>
        <v>0.20499500665668266</v>
      </c>
      <c r="Y58">
        <f t="shared" si="19"/>
        <v>0.58121198685204456</v>
      </c>
      <c r="Z58" s="81">
        <f t="shared" si="20"/>
        <v>40.394228040143275</v>
      </c>
    </row>
    <row r="59" spans="1:26" hidden="1" x14ac:dyDescent="0.35">
      <c r="A59" s="36">
        <v>0.5</v>
      </c>
      <c r="B59" s="8">
        <v>2E-3</v>
      </c>
      <c r="C59" s="5">
        <f t="shared" si="21"/>
        <v>0.2</v>
      </c>
      <c r="D59" s="2">
        <v>100</v>
      </c>
      <c r="E59" s="5">
        <f t="shared" si="22"/>
        <v>100.2</v>
      </c>
      <c r="F59" s="5">
        <f t="shared" si="23"/>
        <v>0.20000000000000284</v>
      </c>
      <c r="G59" s="8">
        <f t="shared" si="24"/>
        <v>0.19947114020071635</v>
      </c>
      <c r="H59" s="5">
        <f t="shared" si="25"/>
        <v>19.947114020071634</v>
      </c>
      <c r="I59" s="80">
        <f t="shared" si="9"/>
        <v>19.661160914288267</v>
      </c>
      <c r="J59" s="80">
        <f t="shared" si="26"/>
        <v>0.98566443719649721</v>
      </c>
      <c r="K59" s="2">
        <f t="shared" si="10"/>
        <v>0.13851077667905617</v>
      </c>
      <c r="L59" s="5">
        <f t="shared" si="11"/>
        <v>0.5</v>
      </c>
      <c r="M59" s="80">
        <f t="shared" si="1"/>
        <v>-0.3614892233209438</v>
      </c>
      <c r="N59" s="80">
        <f t="shared" si="12"/>
        <v>3.9960053253461159E-3</v>
      </c>
      <c r="O59" s="6">
        <f t="shared" si="13"/>
        <v>0</v>
      </c>
      <c r="P59" s="6">
        <f t="shared" si="14"/>
        <v>0</v>
      </c>
      <c r="Q59" s="6">
        <f t="shared" si="15"/>
        <v>0</v>
      </c>
      <c r="R59" s="6">
        <f t="shared" si="16"/>
        <v>0</v>
      </c>
      <c r="S59" s="6">
        <f t="shared" si="17"/>
        <v>0.14285714285714285</v>
      </c>
      <c r="T59" s="83">
        <f t="shared" si="18"/>
        <v>-4.3463661780866747E-3</v>
      </c>
      <c r="W59" s="80"/>
      <c r="X59" s="81">
        <f t="shared" si="2"/>
        <v>0.25399600532534611</v>
      </c>
      <c r="Y59">
        <f t="shared" si="19"/>
        <v>0.60025067789233522</v>
      </c>
      <c r="Z59" s="81">
        <f t="shared" si="20"/>
        <v>40.394228040143275</v>
      </c>
    </row>
    <row r="60" spans="1:26" hidden="1" x14ac:dyDescent="0.35">
      <c r="A60" s="36">
        <v>0.6</v>
      </c>
      <c r="B60" s="8">
        <v>2E-3</v>
      </c>
      <c r="C60" s="5">
        <f t="shared" si="21"/>
        <v>0.2</v>
      </c>
      <c r="D60" s="2">
        <v>100</v>
      </c>
      <c r="E60" s="5">
        <f t="shared" si="22"/>
        <v>100.2</v>
      </c>
      <c r="F60" s="5">
        <f t="shared" si="23"/>
        <v>0.20000000000000284</v>
      </c>
      <c r="G60" s="8">
        <f t="shared" si="24"/>
        <v>0.23936536824085961</v>
      </c>
      <c r="H60" s="5">
        <f t="shared" si="25"/>
        <v>23.936536824085959</v>
      </c>
      <c r="I60" s="80">
        <f t="shared" si="9"/>
        <v>23.5059937244122</v>
      </c>
      <c r="J60" s="80">
        <f t="shared" si="26"/>
        <v>0.98201314154850805</v>
      </c>
      <c r="K60" s="2">
        <f t="shared" si="10"/>
        <v>0.11018926596781488</v>
      </c>
      <c r="L60" s="5">
        <f t="shared" si="11"/>
        <v>0.6</v>
      </c>
      <c r="M60" s="80">
        <f t="shared" si="1"/>
        <v>-0.48981073403218511</v>
      </c>
      <c r="N60" s="80">
        <f t="shared" si="12"/>
        <v>3.3300044377884302E-3</v>
      </c>
      <c r="O60" s="6">
        <f t="shared" si="13"/>
        <v>0</v>
      </c>
      <c r="P60" s="6">
        <f t="shared" si="14"/>
        <v>0</v>
      </c>
      <c r="Q60" s="6">
        <f t="shared" si="15"/>
        <v>0</v>
      </c>
      <c r="R60" s="6">
        <f t="shared" si="16"/>
        <v>0</v>
      </c>
      <c r="S60" s="6">
        <f t="shared" si="17"/>
        <v>8.5714285714285743E-2</v>
      </c>
      <c r="T60" s="83">
        <f t="shared" si="18"/>
        <v>2.4474980253529136E-2</v>
      </c>
      <c r="W60" s="80"/>
      <c r="X60" s="81">
        <f t="shared" si="2"/>
        <v>0.3033300044377884</v>
      </c>
      <c r="Y60">
        <f t="shared" si="19"/>
        <v>0.61918080879531934</v>
      </c>
      <c r="Z60" s="81">
        <f t="shared" si="20"/>
        <v>40.394228040143275</v>
      </c>
    </row>
    <row r="61" spans="1:26" hidden="1" x14ac:dyDescent="0.35">
      <c r="A61" s="36">
        <v>0.01</v>
      </c>
      <c r="B61" s="8">
        <v>3.0000000000000001E-3</v>
      </c>
      <c r="C61" s="5">
        <f t="shared" si="21"/>
        <v>0.3</v>
      </c>
      <c r="D61" s="2">
        <v>100</v>
      </c>
      <c r="E61" s="5">
        <f t="shared" si="22"/>
        <v>100.3</v>
      </c>
      <c r="F61" s="5">
        <f t="shared" si="23"/>
        <v>0.29999999999999716</v>
      </c>
      <c r="G61" s="8">
        <f t="shared" si="24"/>
        <v>3.9894228040143268E-3</v>
      </c>
      <c r="H61" s="5">
        <f t="shared" si="25"/>
        <v>0.39894228040143265</v>
      </c>
      <c r="I61" s="80">
        <f t="shared" si="9"/>
        <v>0.26733148504246174</v>
      </c>
      <c r="J61" s="80">
        <f t="shared" si="26"/>
        <v>0.67010065910652905</v>
      </c>
      <c r="K61" s="2">
        <f t="shared" si="10"/>
        <v>7.4938673859582363E-3</v>
      </c>
      <c r="L61" s="5">
        <f t="shared" si="11"/>
        <v>0.01</v>
      </c>
      <c r="M61" s="80">
        <f t="shared" si="1"/>
        <v>-2.5061326140417639E-3</v>
      </c>
      <c r="N61" s="80">
        <f t="shared" si="12"/>
        <v>0.29955089797983708</v>
      </c>
      <c r="O61" s="6">
        <f t="shared" si="13"/>
        <v>0</v>
      </c>
      <c r="P61" s="6">
        <f t="shared" si="14"/>
        <v>0</v>
      </c>
      <c r="Q61" s="6">
        <f t="shared" si="15"/>
        <v>0</v>
      </c>
      <c r="R61" s="6">
        <f t="shared" si="16"/>
        <v>0</v>
      </c>
      <c r="S61" s="6">
        <f t="shared" si="17"/>
        <v>9.8750000000000001E-3</v>
      </c>
      <c r="T61" s="83">
        <f t="shared" si="18"/>
        <v>-2.3811326140417638E-3</v>
      </c>
      <c r="W61" s="80"/>
      <c r="X61" s="81">
        <f t="shared" si="2"/>
        <v>0.30455089797983709</v>
      </c>
      <c r="Y61">
        <f t="shared" si="19"/>
        <v>0.61964588896221073</v>
      </c>
      <c r="Z61" s="81">
        <f t="shared" si="20"/>
        <v>40.394228040143275</v>
      </c>
    </row>
    <row r="62" spans="1:26" hidden="1" x14ac:dyDescent="0.35">
      <c r="A62" s="36">
        <v>0.02</v>
      </c>
      <c r="B62" s="8">
        <v>3.0000000000000001E-3</v>
      </c>
      <c r="C62" s="5">
        <f t="shared" si="21"/>
        <v>0.3</v>
      </c>
      <c r="D62" s="2">
        <v>100</v>
      </c>
      <c r="E62" s="5">
        <f t="shared" si="22"/>
        <v>100.3</v>
      </c>
      <c r="F62" s="5">
        <f t="shared" si="23"/>
        <v>0.29999999999999716</v>
      </c>
      <c r="G62" s="8">
        <f t="shared" si="24"/>
        <v>7.9788456080286535E-3</v>
      </c>
      <c r="H62" s="5">
        <f t="shared" si="25"/>
        <v>0.79788456080286529</v>
      </c>
      <c r="I62" s="80">
        <f t="shared" si="9"/>
        <v>0.65801366734000766</v>
      </c>
      <c r="J62" s="80">
        <f t="shared" si="26"/>
        <v>0.82469783182405032</v>
      </c>
      <c r="K62" s="2">
        <f t="shared" si="10"/>
        <v>1.5565153267027829E-2</v>
      </c>
      <c r="L62" s="5">
        <f t="shared" si="11"/>
        <v>0.02</v>
      </c>
      <c r="M62" s="80">
        <f t="shared" si="1"/>
        <v>-4.4348467329721718E-3</v>
      </c>
      <c r="N62" s="80">
        <f t="shared" si="12"/>
        <v>0.14977544898991854</v>
      </c>
      <c r="O62" s="6">
        <f t="shared" si="13"/>
        <v>0</v>
      </c>
      <c r="P62" s="6">
        <f t="shared" si="14"/>
        <v>0</v>
      </c>
      <c r="Q62" s="6">
        <f t="shared" si="15"/>
        <v>0</v>
      </c>
      <c r="R62" s="6">
        <f t="shared" si="16"/>
        <v>0</v>
      </c>
      <c r="S62" s="6">
        <f t="shared" si="17"/>
        <v>1.95E-2</v>
      </c>
      <c r="T62" s="83">
        <f t="shared" si="18"/>
        <v>-3.9348467329721713E-3</v>
      </c>
      <c r="W62" s="80"/>
      <c r="X62" s="81">
        <f t="shared" si="2"/>
        <v>0.15977544898991855</v>
      </c>
      <c r="Y62">
        <f t="shared" si="19"/>
        <v>0.56347101776492092</v>
      </c>
      <c r="Z62" s="81">
        <f t="shared" si="20"/>
        <v>40.394228040143275</v>
      </c>
    </row>
    <row r="63" spans="1:26" hidden="1" x14ac:dyDescent="0.35">
      <c r="A63" s="36">
        <v>0.05</v>
      </c>
      <c r="B63" s="8">
        <v>3.0000000000000001E-3</v>
      </c>
      <c r="C63" s="5">
        <f t="shared" si="21"/>
        <v>0.3</v>
      </c>
      <c r="D63" s="2">
        <v>100</v>
      </c>
      <c r="E63" s="5">
        <f t="shared" si="22"/>
        <v>100.3</v>
      </c>
      <c r="F63" s="5">
        <f t="shared" si="23"/>
        <v>0.29999999999999716</v>
      </c>
      <c r="G63" s="8">
        <f t="shared" si="24"/>
        <v>1.9947114020071637E-2</v>
      </c>
      <c r="H63" s="5">
        <f t="shared" si="25"/>
        <v>1.9947114020071637</v>
      </c>
      <c r="I63" s="80">
        <f t="shared" si="9"/>
        <v>1.8510783076219184</v>
      </c>
      <c r="J63" s="80">
        <f t="shared" si="26"/>
        <v>0.92799304488824019</v>
      </c>
      <c r="K63" s="2">
        <f t="shared" si="10"/>
        <v>4.0143961084997903E-2</v>
      </c>
      <c r="L63" s="5">
        <f t="shared" si="11"/>
        <v>0.05</v>
      </c>
      <c r="M63" s="80">
        <f t="shared" si="1"/>
        <v>-9.8560389150020994E-3</v>
      </c>
      <c r="N63" s="80">
        <f t="shared" si="12"/>
        <v>5.9910179595967415E-2</v>
      </c>
      <c r="O63" s="6">
        <f t="shared" si="13"/>
        <v>0</v>
      </c>
      <c r="P63" s="6">
        <f t="shared" si="14"/>
        <v>0</v>
      </c>
      <c r="Q63" s="6">
        <f t="shared" si="15"/>
        <v>0</v>
      </c>
      <c r="R63" s="6">
        <f t="shared" si="16"/>
        <v>0</v>
      </c>
      <c r="S63" s="6">
        <f t="shared" si="17"/>
        <v>4.6875E-2</v>
      </c>
      <c r="T63" s="83">
        <f t="shared" si="18"/>
        <v>-6.7310389150020966E-3</v>
      </c>
      <c r="W63" s="80"/>
      <c r="X63" s="81">
        <f t="shared" si="2"/>
        <v>8.4910179595967417E-2</v>
      </c>
      <c r="Y63">
        <f t="shared" si="19"/>
        <v>0.53383360056531659</v>
      </c>
      <c r="Z63" s="81">
        <f t="shared" si="20"/>
        <v>40.394228040143275</v>
      </c>
    </row>
    <row r="64" spans="1:26" hidden="1" x14ac:dyDescent="0.35">
      <c r="A64" s="36">
        <v>0.08</v>
      </c>
      <c r="B64" s="8">
        <v>3.0000000000000001E-3</v>
      </c>
      <c r="C64" s="5">
        <f t="shared" si="21"/>
        <v>0.3</v>
      </c>
      <c r="D64" s="2">
        <v>100</v>
      </c>
      <c r="E64" s="5">
        <f t="shared" si="22"/>
        <v>100.3</v>
      </c>
      <c r="F64" s="5">
        <f t="shared" si="23"/>
        <v>0.29999999999999716</v>
      </c>
      <c r="G64" s="8">
        <f t="shared" si="24"/>
        <v>3.1915382432114614E-2</v>
      </c>
      <c r="H64" s="5">
        <f t="shared" si="25"/>
        <v>3.1915382432114612</v>
      </c>
      <c r="I64" s="80">
        <f t="shared" si="9"/>
        <v>3.04771203878704</v>
      </c>
      <c r="J64" s="80">
        <f t="shared" si="26"/>
        <v>0.95493514616961095</v>
      </c>
      <c r="K64" s="2">
        <f t="shared" si="10"/>
        <v>6.5059197634306232E-2</v>
      </c>
      <c r="L64" s="5">
        <f t="shared" si="11"/>
        <v>0.08</v>
      </c>
      <c r="M64" s="80">
        <f t="shared" si="1"/>
        <v>-1.494080236569377E-2</v>
      </c>
      <c r="N64" s="80">
        <f t="shared" si="12"/>
        <v>3.7443862247479635E-2</v>
      </c>
      <c r="O64" s="6">
        <f t="shared" si="13"/>
        <v>0</v>
      </c>
      <c r="P64" s="6">
        <f t="shared" si="14"/>
        <v>0</v>
      </c>
      <c r="Q64" s="6">
        <f t="shared" si="15"/>
        <v>0</v>
      </c>
      <c r="R64" s="6">
        <f t="shared" si="16"/>
        <v>0</v>
      </c>
      <c r="S64" s="6">
        <f t="shared" si="17"/>
        <v>7.2000000000000008E-2</v>
      </c>
      <c r="T64" s="83">
        <f t="shared" si="18"/>
        <v>-6.9408023656937767E-3</v>
      </c>
      <c r="W64" s="80"/>
      <c r="X64" s="81">
        <f t="shared" si="2"/>
        <v>7.7443862247479636E-2</v>
      </c>
      <c r="Y64">
        <f t="shared" si="19"/>
        <v>0.53086477574709945</v>
      </c>
      <c r="Z64" s="81">
        <f t="shared" si="20"/>
        <v>40.394228040143275</v>
      </c>
    </row>
    <row r="65" spans="1:26" hidden="1" x14ac:dyDescent="0.35">
      <c r="A65" s="36">
        <v>0.1</v>
      </c>
      <c r="B65" s="8">
        <v>3.0000000000000001E-3</v>
      </c>
      <c r="C65" s="5">
        <f t="shared" si="21"/>
        <v>0.3</v>
      </c>
      <c r="D65" s="2">
        <v>100</v>
      </c>
      <c r="E65" s="5">
        <f t="shared" si="22"/>
        <v>100.3</v>
      </c>
      <c r="F65" s="5">
        <f t="shared" si="23"/>
        <v>0.29999999999999716</v>
      </c>
      <c r="G65" s="8">
        <f t="shared" si="24"/>
        <v>3.9894228040143274E-2</v>
      </c>
      <c r="H65" s="5">
        <f t="shared" si="25"/>
        <v>3.9894228040143274</v>
      </c>
      <c r="I65" s="80">
        <f t="shared" si="9"/>
        <v>3.8455329887155045</v>
      </c>
      <c r="J65" s="80">
        <f t="shared" si="26"/>
        <v>0.96393217205405379</v>
      </c>
      <c r="K65" s="2">
        <f t="shared" si="10"/>
        <v>8.1667436084890729E-2</v>
      </c>
      <c r="L65" s="5">
        <f t="shared" si="11"/>
        <v>0.1</v>
      </c>
      <c r="M65" s="80">
        <f t="shared" si="1"/>
        <v>-1.8332563915109276E-2</v>
      </c>
      <c r="N65" s="80">
        <f t="shared" si="12"/>
        <v>2.9955089797983708E-2</v>
      </c>
      <c r="O65" s="6">
        <f t="shared" si="13"/>
        <v>0</v>
      </c>
      <c r="P65" s="6">
        <f t="shared" si="14"/>
        <v>0</v>
      </c>
      <c r="Q65" s="6">
        <f t="shared" si="15"/>
        <v>0</v>
      </c>
      <c r="R65" s="6">
        <f t="shared" si="16"/>
        <v>0</v>
      </c>
      <c r="S65" s="6">
        <f t="shared" si="17"/>
        <v>8.7500000000000008E-2</v>
      </c>
      <c r="T65" s="83">
        <f t="shared" si="18"/>
        <v>-5.832563915109279E-3</v>
      </c>
      <c r="W65" s="80"/>
      <c r="X65" s="81">
        <f t="shared" si="2"/>
        <v>7.9955089797983714E-2</v>
      </c>
      <c r="Y65">
        <f t="shared" si="19"/>
        <v>0.53186351264492082</v>
      </c>
      <c r="Z65" s="81">
        <f t="shared" si="20"/>
        <v>40.394228040143275</v>
      </c>
    </row>
    <row r="66" spans="1:26" hidden="1" x14ac:dyDescent="0.35">
      <c r="A66" s="36">
        <v>0.12</v>
      </c>
      <c r="B66" s="8">
        <v>3.0000000000000001E-3</v>
      </c>
      <c r="C66" s="5">
        <f t="shared" si="21"/>
        <v>0.3</v>
      </c>
      <c r="D66" s="2">
        <v>100</v>
      </c>
      <c r="E66" s="5">
        <f t="shared" si="22"/>
        <v>100.3</v>
      </c>
      <c r="F66" s="5">
        <f t="shared" si="23"/>
        <v>0.29999999999999716</v>
      </c>
      <c r="G66" s="8">
        <f t="shared" si="24"/>
        <v>4.7873073648171921E-2</v>
      </c>
      <c r="H66" s="5">
        <f t="shared" si="25"/>
        <v>4.7873073648171918</v>
      </c>
      <c r="I66" s="80">
        <f t="shared" si="9"/>
        <v>4.6431042154827225</v>
      </c>
      <c r="J66" s="80">
        <f t="shared" si="26"/>
        <v>0.96987802571561521</v>
      </c>
      <c r="K66" s="2">
        <f t="shared" si="10"/>
        <v>9.80874193175163E-2</v>
      </c>
      <c r="L66" s="5">
        <f t="shared" si="11"/>
        <v>0.12</v>
      </c>
      <c r="M66" s="80">
        <f t="shared" si="1"/>
        <v>-2.1912580682483696E-2</v>
      </c>
      <c r="N66" s="80">
        <f t="shared" si="12"/>
        <v>2.4962574831653091E-2</v>
      </c>
      <c r="O66" s="6">
        <f t="shared" si="13"/>
        <v>0</v>
      </c>
      <c r="P66" s="6">
        <f t="shared" si="14"/>
        <v>0</v>
      </c>
      <c r="Q66" s="6">
        <f t="shared" si="15"/>
        <v>0</v>
      </c>
      <c r="R66" s="6">
        <f t="shared" si="16"/>
        <v>0</v>
      </c>
      <c r="S66" s="6">
        <f t="shared" si="17"/>
        <v>0.10199999999999999</v>
      </c>
      <c r="T66" s="83">
        <f t="shared" si="18"/>
        <v>-3.9125806824836934E-3</v>
      </c>
      <c r="W66" s="80"/>
      <c r="X66" s="81">
        <f t="shared" si="2"/>
        <v>8.4962574831653093E-2</v>
      </c>
      <c r="Y66">
        <f t="shared" si="19"/>
        <v>0.5338544279780264</v>
      </c>
      <c r="Z66" s="81">
        <f t="shared" si="20"/>
        <v>40.394228040143275</v>
      </c>
    </row>
    <row r="67" spans="1:26" hidden="1" x14ac:dyDescent="0.35">
      <c r="A67" s="36">
        <v>0.15</v>
      </c>
      <c r="B67" s="8">
        <v>3.0000000000000001E-3</v>
      </c>
      <c r="C67" s="5">
        <f t="shared" si="21"/>
        <v>0.3</v>
      </c>
      <c r="D67" s="2">
        <v>100</v>
      </c>
      <c r="E67" s="5">
        <f t="shared" si="22"/>
        <v>100.3</v>
      </c>
      <c r="F67" s="5">
        <f t="shared" si="23"/>
        <v>0.29999999999999716</v>
      </c>
      <c r="G67" s="8">
        <f t="shared" si="24"/>
        <v>5.9841342060214901E-2</v>
      </c>
      <c r="H67" s="5">
        <f t="shared" si="25"/>
        <v>5.9841342060214897</v>
      </c>
      <c r="I67" s="80">
        <f t="shared" si="9"/>
        <v>5.8386882428387921</v>
      </c>
      <c r="J67" s="80">
        <f t="shared" si="26"/>
        <v>0.97569473575035404</v>
      </c>
      <c r="K67" s="2">
        <f t="shared" si="10"/>
        <v>0.12192389944117032</v>
      </c>
      <c r="L67" s="5">
        <f t="shared" si="11"/>
        <v>0.15</v>
      </c>
      <c r="M67" s="80">
        <f t="shared" si="1"/>
        <v>-2.807610055882967E-2</v>
      </c>
      <c r="N67" s="80">
        <f t="shared" si="12"/>
        <v>1.9970059865322475E-2</v>
      </c>
      <c r="O67" s="6">
        <f t="shared" si="13"/>
        <v>0</v>
      </c>
      <c r="P67" s="6">
        <f t="shared" si="14"/>
        <v>0</v>
      </c>
      <c r="Q67" s="6">
        <f t="shared" si="15"/>
        <v>0</v>
      </c>
      <c r="R67" s="6">
        <f t="shared" si="16"/>
        <v>0</v>
      </c>
      <c r="S67" s="6">
        <f t="shared" si="17"/>
        <v>0.121875</v>
      </c>
      <c r="T67" s="83">
        <f t="shared" si="18"/>
        <v>4.8899441170327518E-5</v>
      </c>
      <c r="W67" s="80"/>
      <c r="X67" s="81">
        <f t="shared" si="2"/>
        <v>9.4970059865322476E-2</v>
      </c>
      <c r="Y67">
        <f t="shared" si="19"/>
        <v>0.53783069591426702</v>
      </c>
      <c r="Z67" s="81">
        <f t="shared" si="20"/>
        <v>40.394228040143275</v>
      </c>
    </row>
    <row r="68" spans="1:26" hidden="1" x14ac:dyDescent="0.35">
      <c r="A68" s="36">
        <v>0.2</v>
      </c>
      <c r="B68" s="8">
        <v>3.0000000000000001E-3</v>
      </c>
      <c r="C68" s="5">
        <f t="shared" si="21"/>
        <v>0.3</v>
      </c>
      <c r="D68" s="2">
        <v>100</v>
      </c>
      <c r="E68" s="5">
        <f t="shared" si="22"/>
        <v>100.3</v>
      </c>
      <c r="F68" s="5">
        <f t="shared" si="23"/>
        <v>0.29999999999999716</v>
      </c>
      <c r="G68" s="8">
        <f t="shared" si="24"/>
        <v>7.9788456080286549E-2</v>
      </c>
      <c r="H68" s="5">
        <f t="shared" si="25"/>
        <v>7.9788456080286547</v>
      </c>
      <c r="I68" s="80">
        <f t="shared" si="9"/>
        <v>7.8284075959416342</v>
      </c>
      <c r="J68" s="80">
        <f t="shared" si="26"/>
        <v>0.98114539126616973</v>
      </c>
      <c r="K68" s="2">
        <f t="shared" si="10"/>
        <v>0.15760753282119075</v>
      </c>
      <c r="L68" s="5">
        <f t="shared" si="11"/>
        <v>0.2</v>
      </c>
      <c r="M68" s="80">
        <f t="shared" si="1"/>
        <v>-4.2392467178809262E-2</v>
      </c>
      <c r="N68" s="80">
        <f t="shared" si="12"/>
        <v>1.4977544898991854E-2</v>
      </c>
      <c r="O68" s="6">
        <f t="shared" si="13"/>
        <v>0</v>
      </c>
      <c r="P68" s="6">
        <f t="shared" si="14"/>
        <v>0</v>
      </c>
      <c r="Q68" s="6">
        <f t="shared" si="15"/>
        <v>0</v>
      </c>
      <c r="R68" s="6">
        <f t="shared" si="16"/>
        <v>0</v>
      </c>
      <c r="S68" s="6">
        <f t="shared" si="17"/>
        <v>0.15</v>
      </c>
      <c r="T68" s="83">
        <f t="shared" si="18"/>
        <v>7.6075328211907545E-3</v>
      </c>
      <c r="W68" s="80"/>
      <c r="X68" s="81">
        <f t="shared" si="2"/>
        <v>0.11497754489899185</v>
      </c>
      <c r="Y68">
        <f t="shared" si="19"/>
        <v>0.54576853971838479</v>
      </c>
      <c r="Z68" s="81">
        <f t="shared" si="20"/>
        <v>40.394228040143275</v>
      </c>
    </row>
    <row r="69" spans="1:26" hidden="1" x14ac:dyDescent="0.35">
      <c r="A69" s="36">
        <v>0.25</v>
      </c>
      <c r="B69" s="8">
        <v>3.0000000000000001E-3</v>
      </c>
      <c r="C69" s="5">
        <f t="shared" si="21"/>
        <v>0.3</v>
      </c>
      <c r="D69" s="2">
        <v>100</v>
      </c>
      <c r="E69" s="5">
        <f t="shared" si="22"/>
        <v>100.3</v>
      </c>
      <c r="F69" s="5">
        <f t="shared" si="23"/>
        <v>0.29999999999999716</v>
      </c>
      <c r="G69" s="8">
        <f t="shared" si="24"/>
        <v>9.9735570100358176E-2</v>
      </c>
      <c r="H69" s="5">
        <f t="shared" si="25"/>
        <v>9.9735570100358171</v>
      </c>
      <c r="I69" s="80">
        <f t="shared" si="9"/>
        <v>9.8132778660344613</v>
      </c>
      <c r="J69" s="80">
        <f t="shared" si="26"/>
        <v>0.98392959063250196</v>
      </c>
      <c r="K69" s="2">
        <f t="shared" si="10"/>
        <v>0.18517445506538577</v>
      </c>
      <c r="L69" s="5">
        <f t="shared" si="11"/>
        <v>0.25</v>
      </c>
      <c r="M69" s="80">
        <f t="shared" si="1"/>
        <v>-6.4825544934614232E-2</v>
      </c>
      <c r="N69" s="80">
        <f t="shared" si="12"/>
        <v>1.1982035919193484E-2</v>
      </c>
      <c r="O69" s="6">
        <f t="shared" si="13"/>
        <v>0</v>
      </c>
      <c r="P69" s="6">
        <f t="shared" si="14"/>
        <v>0</v>
      </c>
      <c r="Q69" s="6">
        <f t="shared" si="15"/>
        <v>0</v>
      </c>
      <c r="R69" s="6">
        <f t="shared" si="16"/>
        <v>0</v>
      </c>
      <c r="S69" s="6">
        <f t="shared" si="17"/>
        <v>0.171875</v>
      </c>
      <c r="T69" s="83">
        <f t="shared" si="18"/>
        <v>1.3299455065385768E-2</v>
      </c>
      <c r="W69" s="80"/>
      <c r="X69" s="81">
        <f t="shared" si="2"/>
        <v>0.13698203591919347</v>
      </c>
      <c r="Y69">
        <f t="shared" si="19"/>
        <v>0.55447750274480923</v>
      </c>
      <c r="Z69" s="81">
        <f t="shared" si="20"/>
        <v>40.394228040143275</v>
      </c>
    </row>
    <row r="70" spans="1:26" hidden="1" x14ac:dyDescent="0.35">
      <c r="A70" s="36">
        <v>0.3</v>
      </c>
      <c r="B70" s="8">
        <v>3.0000000000000001E-3</v>
      </c>
      <c r="C70" s="5">
        <f t="shared" si="21"/>
        <v>0.3</v>
      </c>
      <c r="D70" s="2">
        <v>100</v>
      </c>
      <c r="E70" s="5">
        <f t="shared" si="22"/>
        <v>100.3</v>
      </c>
      <c r="F70" s="5">
        <f t="shared" si="23"/>
        <v>0.29999999999999716</v>
      </c>
      <c r="G70" s="8">
        <f t="shared" si="24"/>
        <v>0.1196826841204298</v>
      </c>
      <c r="H70" s="5">
        <f t="shared" si="25"/>
        <v>11.968268412042979</v>
      </c>
      <c r="I70" s="80">
        <f t="shared" si="9"/>
        <v>11.792014609929339</v>
      </c>
      <c r="J70" s="80">
        <f t="shared" si="26"/>
        <v>0.98527324120369109</v>
      </c>
      <c r="K70" s="2">
        <f t="shared" si="10"/>
        <v>0.20220710345272816</v>
      </c>
      <c r="L70" s="5">
        <f t="shared" si="11"/>
        <v>0.3</v>
      </c>
      <c r="M70" s="80">
        <f t="shared" si="1"/>
        <v>-9.7792896547271829E-2</v>
      </c>
      <c r="N70" s="80">
        <f t="shared" si="12"/>
        <v>9.9850299326612376E-3</v>
      </c>
      <c r="O70" s="6">
        <f t="shared" si="13"/>
        <v>0</v>
      </c>
      <c r="P70" s="6">
        <f t="shared" si="14"/>
        <v>0</v>
      </c>
      <c r="Q70" s="6">
        <f t="shared" si="15"/>
        <v>0</v>
      </c>
      <c r="R70" s="6">
        <f t="shared" si="16"/>
        <v>0</v>
      </c>
      <c r="S70" s="6">
        <f t="shared" si="17"/>
        <v>0.1875</v>
      </c>
      <c r="T70" s="83">
        <f t="shared" si="18"/>
        <v>1.470710345272816E-2</v>
      </c>
      <c r="W70" s="80"/>
      <c r="X70" s="81">
        <f t="shared" si="2"/>
        <v>0.15998502993266123</v>
      </c>
      <c r="Y70">
        <f t="shared" si="19"/>
        <v>0.56355356664847633</v>
      </c>
      <c r="Z70" s="81">
        <f t="shared" si="20"/>
        <v>40.394228040143275</v>
      </c>
    </row>
    <row r="71" spans="1:26" hidden="1" x14ac:dyDescent="0.35">
      <c r="A71" s="36">
        <v>0.35</v>
      </c>
      <c r="B71" s="8">
        <v>3.0000000000000001E-3</v>
      </c>
      <c r="C71" s="5">
        <f t="shared" si="21"/>
        <v>0.3</v>
      </c>
      <c r="D71" s="2">
        <v>100</v>
      </c>
      <c r="E71" s="5">
        <f t="shared" si="22"/>
        <v>100.3</v>
      </c>
      <c r="F71" s="5">
        <f t="shared" si="23"/>
        <v>0.29999999999999716</v>
      </c>
      <c r="G71" s="8">
        <f t="shared" si="24"/>
        <v>0.13962979814050144</v>
      </c>
      <c r="H71" s="5">
        <f t="shared" si="25"/>
        <v>13.962979814050144</v>
      </c>
      <c r="I71" s="80">
        <f t="shared" si="9"/>
        <v>13.763379068579553</v>
      </c>
      <c r="J71" s="80">
        <f t="shared" si="26"/>
        <v>0.98570500365045688</v>
      </c>
      <c r="K71" s="2">
        <f t="shared" si="10"/>
        <v>0.20836004273331979</v>
      </c>
      <c r="L71" s="5">
        <f t="shared" si="11"/>
        <v>0.35</v>
      </c>
      <c r="M71" s="80">
        <f t="shared" si="1"/>
        <v>-0.14163995726668019</v>
      </c>
      <c r="N71" s="80">
        <f t="shared" si="12"/>
        <v>8.5585970851382032E-3</v>
      </c>
      <c r="O71" s="6">
        <f t="shared" si="13"/>
        <v>0</v>
      </c>
      <c r="P71" s="6">
        <f t="shared" si="14"/>
        <v>0</v>
      </c>
      <c r="Q71" s="6">
        <f t="shared" si="15"/>
        <v>0</v>
      </c>
      <c r="R71" s="6">
        <f t="shared" si="16"/>
        <v>0</v>
      </c>
      <c r="S71" s="6">
        <f t="shared" si="17"/>
        <v>0.19687499999999999</v>
      </c>
      <c r="T71" s="83">
        <f t="shared" si="18"/>
        <v>1.1485042733319795E-2</v>
      </c>
      <c r="W71" s="80"/>
      <c r="X71" s="81">
        <f t="shared" si="2"/>
        <v>0.18355859708513819</v>
      </c>
      <c r="Y71">
        <f t="shared" si="19"/>
        <v>0.57282012706324903</v>
      </c>
      <c r="Z71" s="81">
        <f t="shared" si="20"/>
        <v>40.394228040143275</v>
      </c>
    </row>
    <row r="72" spans="1:26" hidden="1" x14ac:dyDescent="0.35">
      <c r="A72" s="36">
        <v>0.4</v>
      </c>
      <c r="B72" s="8">
        <v>3.0000000000000001E-3</v>
      </c>
      <c r="C72" s="5">
        <f t="shared" si="21"/>
        <v>0.3</v>
      </c>
      <c r="D72" s="2">
        <v>100</v>
      </c>
      <c r="E72" s="5">
        <f t="shared" si="22"/>
        <v>100.3</v>
      </c>
      <c r="F72" s="5">
        <f t="shared" si="23"/>
        <v>0.29999999999999716</v>
      </c>
      <c r="G72" s="8">
        <f t="shared" si="24"/>
        <v>0.1595769121605731</v>
      </c>
      <c r="H72" s="5">
        <f t="shared" si="25"/>
        <v>15.957691216057309</v>
      </c>
      <c r="I72" s="80">
        <f t="shared" si="9"/>
        <v>15.726159062980322</v>
      </c>
      <c r="J72" s="80">
        <f t="shared" si="26"/>
        <v>0.98549087396527579</v>
      </c>
      <c r="K72" s="2">
        <f t="shared" si="10"/>
        <v>0.20526276288404188</v>
      </c>
      <c r="L72" s="5">
        <f t="shared" si="11"/>
        <v>0.4</v>
      </c>
      <c r="M72" s="80">
        <f t="shared" si="1"/>
        <v>-0.19473723711595814</v>
      </c>
      <c r="N72" s="80">
        <f t="shared" si="12"/>
        <v>7.4887724494959269E-3</v>
      </c>
      <c r="O72" s="6">
        <f t="shared" si="13"/>
        <v>0</v>
      </c>
      <c r="P72" s="6">
        <f t="shared" si="14"/>
        <v>0</v>
      </c>
      <c r="Q72" s="6">
        <f t="shared" si="15"/>
        <v>0</v>
      </c>
      <c r="R72" s="6">
        <f t="shared" si="16"/>
        <v>0</v>
      </c>
      <c r="S72" s="6">
        <f t="shared" si="17"/>
        <v>0.19999999999999998</v>
      </c>
      <c r="T72" s="83">
        <f t="shared" si="18"/>
        <v>5.2627628840418994E-3</v>
      </c>
      <c r="W72" s="80"/>
      <c r="X72" s="81">
        <f t="shared" si="2"/>
        <v>0.20748877244949593</v>
      </c>
      <c r="Y72">
        <f t="shared" si="19"/>
        <v>0.58218591991144941</v>
      </c>
      <c r="Z72" s="81">
        <f t="shared" si="20"/>
        <v>40.394228040143275</v>
      </c>
    </row>
    <row r="73" spans="1:26" hidden="1" x14ac:dyDescent="0.35">
      <c r="A73" s="36">
        <v>0.5</v>
      </c>
      <c r="B73" s="8">
        <v>3.0000000000000001E-3</v>
      </c>
      <c r="C73" s="5">
        <f t="shared" si="21"/>
        <v>0.3</v>
      </c>
      <c r="D73" s="2">
        <v>100</v>
      </c>
      <c r="E73" s="5">
        <f t="shared" si="22"/>
        <v>100.3</v>
      </c>
      <c r="F73" s="5">
        <f t="shared" si="23"/>
        <v>0.29999999999999716</v>
      </c>
      <c r="G73" s="8">
        <f t="shared" si="24"/>
        <v>0.19947114020071635</v>
      </c>
      <c r="H73" s="5">
        <f t="shared" si="25"/>
        <v>19.947114020071634</v>
      </c>
      <c r="I73" s="80">
        <f t="shared" si="9"/>
        <v>19.621224513530173</v>
      </c>
      <c r="J73" s="80">
        <f t="shared" si="26"/>
        <v>0.9836623229699526</v>
      </c>
      <c r="K73" s="2">
        <f t="shared" si="10"/>
        <v>0.1821205180055534</v>
      </c>
      <c r="L73" s="5">
        <f t="shared" si="11"/>
        <v>0.5</v>
      </c>
      <c r="M73" s="80">
        <f t="shared" si="1"/>
        <v>-0.3178794819944466</v>
      </c>
      <c r="N73" s="80">
        <f t="shared" si="12"/>
        <v>5.9910179595967419E-3</v>
      </c>
      <c r="O73" s="6">
        <f t="shared" si="13"/>
        <v>0</v>
      </c>
      <c r="P73" s="6">
        <f t="shared" si="14"/>
        <v>0</v>
      </c>
      <c r="Q73" s="6">
        <f t="shared" si="15"/>
        <v>0</v>
      </c>
      <c r="R73" s="6">
        <f t="shared" si="16"/>
        <v>0</v>
      </c>
      <c r="S73" s="6">
        <f t="shared" si="17"/>
        <v>0.1875</v>
      </c>
      <c r="T73" s="83">
        <f t="shared" si="18"/>
        <v>-5.3794819944465999E-3</v>
      </c>
      <c r="W73" s="80"/>
      <c r="X73" s="81">
        <f t="shared" si="2"/>
        <v>0.25599101795959672</v>
      </c>
      <c r="Y73">
        <f t="shared" si="19"/>
        <v>0.60102111353804988</v>
      </c>
      <c r="Z73" s="81">
        <f t="shared" si="20"/>
        <v>40.394228040143275</v>
      </c>
    </row>
    <row r="74" spans="1:26" hidden="1" x14ac:dyDescent="0.35">
      <c r="A74" s="36">
        <v>0.6</v>
      </c>
      <c r="B74" s="8">
        <v>3.0000000000000001E-3</v>
      </c>
      <c r="C74" s="5">
        <f t="shared" si="21"/>
        <v>0.3</v>
      </c>
      <c r="D74" s="2">
        <v>100</v>
      </c>
      <c r="E74" s="5">
        <f t="shared" si="22"/>
        <v>100.3</v>
      </c>
      <c r="F74" s="5">
        <f t="shared" si="23"/>
        <v>0.29999999999999716</v>
      </c>
      <c r="G74" s="8">
        <f t="shared" si="24"/>
        <v>0.23936536824085961</v>
      </c>
      <c r="H74" s="5">
        <f t="shared" si="25"/>
        <v>23.936536824085959</v>
      </c>
      <c r="I74" s="80">
        <f t="shared" si="9"/>
        <v>23.46794347645708</v>
      </c>
      <c r="J74" s="80">
        <f t="shared" si="26"/>
        <v>0.98042351109215764</v>
      </c>
      <c r="K74" s="2">
        <f t="shared" si="10"/>
        <v>0.15174010627197509</v>
      </c>
      <c r="L74" s="5">
        <f t="shared" si="11"/>
        <v>0.6</v>
      </c>
      <c r="M74" s="80">
        <f t="shared" si="1"/>
        <v>-0.44825989372802488</v>
      </c>
      <c r="N74" s="80">
        <f t="shared" si="12"/>
        <v>4.9925149663306188E-3</v>
      </c>
      <c r="O74" s="6">
        <f t="shared" si="13"/>
        <v>0</v>
      </c>
      <c r="P74" s="6">
        <f t="shared" si="14"/>
        <v>0</v>
      </c>
      <c r="Q74" s="6">
        <f t="shared" si="15"/>
        <v>0</v>
      </c>
      <c r="R74" s="6">
        <f t="shared" si="16"/>
        <v>0</v>
      </c>
      <c r="S74" s="6">
        <f t="shared" si="17"/>
        <v>0.15000000000000002</v>
      </c>
      <c r="T74" s="83">
        <f t="shared" si="18"/>
        <v>1.7401062719750726E-3</v>
      </c>
      <c r="W74" s="80"/>
      <c r="X74" s="81">
        <f t="shared" si="2"/>
        <v>0.30499251496633062</v>
      </c>
      <c r="Y74">
        <f t="shared" si="19"/>
        <v>0.61981407345074269</v>
      </c>
      <c r="Z74" s="81">
        <f t="shared" si="20"/>
        <v>40.394228040143275</v>
      </c>
    </row>
    <row r="75" spans="1:26" hidden="1" x14ac:dyDescent="0.35">
      <c r="A75" s="36">
        <v>0.01</v>
      </c>
      <c r="B75" s="8">
        <v>4.0000000000000001E-3</v>
      </c>
      <c r="C75" s="5">
        <f t="shared" si="21"/>
        <v>0.4</v>
      </c>
      <c r="D75" s="2">
        <v>100</v>
      </c>
      <c r="E75" s="5">
        <f t="shared" si="22"/>
        <v>100.4</v>
      </c>
      <c r="F75" s="5">
        <f t="shared" si="23"/>
        <v>0.40000000000000568</v>
      </c>
      <c r="G75" s="8">
        <f t="shared" si="24"/>
        <v>3.9894228040143268E-3</v>
      </c>
      <c r="H75" s="5">
        <f t="shared" si="25"/>
        <v>0.39894228040143265</v>
      </c>
      <c r="I75" s="80">
        <f t="shared" si="9"/>
        <v>0.2311734666385945</v>
      </c>
      <c r="J75" s="80">
        <f t="shared" si="26"/>
        <v>0.57946594782076732</v>
      </c>
      <c r="K75" s="2">
        <f t="shared" si="10"/>
        <v>7.3307282715266535E-3</v>
      </c>
      <c r="L75" s="5">
        <f t="shared" si="11"/>
        <v>0.01</v>
      </c>
      <c r="M75" s="80">
        <f t="shared" si="1"/>
        <v>-2.6692717284733467E-3</v>
      </c>
      <c r="N75" s="80">
        <f t="shared" si="12"/>
        <v>0.39920212695374568</v>
      </c>
      <c r="O75" s="6">
        <f t="shared" si="13"/>
        <v>0</v>
      </c>
      <c r="P75" s="6">
        <f t="shared" si="14"/>
        <v>0</v>
      </c>
      <c r="Q75" s="6">
        <f t="shared" si="15"/>
        <v>0</v>
      </c>
      <c r="R75" s="6">
        <f t="shared" si="16"/>
        <v>0</v>
      </c>
      <c r="S75" s="6">
        <f t="shared" si="17"/>
        <v>9.8888888888888898E-3</v>
      </c>
      <c r="T75" s="83">
        <f t="shared" si="18"/>
        <v>-2.5581606173622363E-3</v>
      </c>
      <c r="W75" s="80"/>
      <c r="X75" s="81">
        <f t="shared" si="2"/>
        <v>0.40420212695374569</v>
      </c>
      <c r="Y75">
        <f t="shared" si="19"/>
        <v>0.65696795509965267</v>
      </c>
      <c r="Z75" s="81">
        <f t="shared" si="20"/>
        <v>40.394228040143275</v>
      </c>
    </row>
    <row r="76" spans="1:26" hidden="1" x14ac:dyDescent="0.35">
      <c r="A76" s="36">
        <v>0.02</v>
      </c>
      <c r="B76" s="8">
        <v>4.0000000000000001E-3</v>
      </c>
      <c r="C76" s="5">
        <f t="shared" si="21"/>
        <v>0.4</v>
      </c>
      <c r="D76" s="2">
        <v>100</v>
      </c>
      <c r="E76" s="5">
        <f t="shared" si="22"/>
        <v>100.4</v>
      </c>
      <c r="F76" s="5">
        <f t="shared" si="23"/>
        <v>0.40000000000000568</v>
      </c>
      <c r="G76" s="8">
        <f t="shared" si="24"/>
        <v>7.9788456080286535E-3</v>
      </c>
      <c r="H76" s="5">
        <f t="shared" si="25"/>
        <v>0.79788456080286529</v>
      </c>
      <c r="I76" s="80">
        <f t="shared" si="9"/>
        <v>0.61533940251511865</v>
      </c>
      <c r="J76" s="80">
        <f t="shared" si="26"/>
        <v>0.7712135724194713</v>
      </c>
      <c r="K76" s="2">
        <f t="shared" si="10"/>
        <v>1.539705521335983E-2</v>
      </c>
      <c r="L76" s="5">
        <f t="shared" si="11"/>
        <v>0.02</v>
      </c>
      <c r="M76" s="80">
        <f t="shared" si="1"/>
        <v>-4.6029447866401708E-3</v>
      </c>
      <c r="N76" s="80">
        <f t="shared" si="12"/>
        <v>0.19960106347687284</v>
      </c>
      <c r="O76" s="6">
        <f t="shared" si="13"/>
        <v>0</v>
      </c>
      <c r="P76" s="6">
        <f t="shared" si="14"/>
        <v>0</v>
      </c>
      <c r="Q76" s="6">
        <f t="shared" si="15"/>
        <v>0</v>
      </c>
      <c r="R76" s="6">
        <f t="shared" si="16"/>
        <v>0</v>
      </c>
      <c r="S76" s="6">
        <f t="shared" si="17"/>
        <v>1.9555555555555555E-2</v>
      </c>
      <c r="T76" s="83">
        <f t="shared" si="18"/>
        <v>-4.1585003421957256E-3</v>
      </c>
      <c r="W76" s="80"/>
      <c r="X76" s="81">
        <f t="shared" si="2"/>
        <v>0.20960106347687285</v>
      </c>
      <c r="Y76">
        <f t="shared" si="19"/>
        <v>0.58301047522732474</v>
      </c>
      <c r="Z76" s="81">
        <f t="shared" si="20"/>
        <v>40.394228040143275</v>
      </c>
    </row>
    <row r="77" spans="1:26" hidden="1" x14ac:dyDescent="0.35">
      <c r="A77" s="36">
        <v>0.05</v>
      </c>
      <c r="B77" s="8">
        <v>4.0000000000000001E-3</v>
      </c>
      <c r="C77" s="5">
        <f t="shared" si="21"/>
        <v>0.4</v>
      </c>
      <c r="D77" s="2">
        <v>100</v>
      </c>
      <c r="E77" s="5">
        <f t="shared" si="22"/>
        <v>100.4</v>
      </c>
      <c r="F77" s="5">
        <f t="shared" si="23"/>
        <v>0.40000000000000568</v>
      </c>
      <c r="G77" s="8">
        <f t="shared" si="24"/>
        <v>1.9947114020071637E-2</v>
      </c>
      <c r="H77" s="5">
        <f t="shared" si="25"/>
        <v>1.9947114020071637</v>
      </c>
      <c r="I77" s="80">
        <f t="shared" si="9"/>
        <v>1.8048576173023392</v>
      </c>
      <c r="J77" s="80">
        <f t="shared" si="26"/>
        <v>0.90482142704263613</v>
      </c>
      <c r="K77" s="2">
        <f t="shared" si="10"/>
        <v>3.9992932074334991E-2</v>
      </c>
      <c r="L77" s="5">
        <f t="shared" si="11"/>
        <v>0.05</v>
      </c>
      <c r="M77" s="80">
        <f t="shared" si="1"/>
        <v>-1.0007067925665011E-2</v>
      </c>
      <c r="N77" s="80">
        <f t="shared" si="12"/>
        <v>7.9840425390749134E-2</v>
      </c>
      <c r="O77" s="6">
        <f t="shared" si="13"/>
        <v>0</v>
      </c>
      <c r="P77" s="6">
        <f t="shared" si="14"/>
        <v>0</v>
      </c>
      <c r="Q77" s="6">
        <f t="shared" si="15"/>
        <v>0</v>
      </c>
      <c r="R77" s="6">
        <f t="shared" si="16"/>
        <v>0</v>
      </c>
      <c r="S77" s="6">
        <f t="shared" si="17"/>
        <v>4.7222222222222221E-2</v>
      </c>
      <c r="T77" s="83">
        <f t="shared" si="18"/>
        <v>-7.2292901478872296E-3</v>
      </c>
      <c r="W77" s="80"/>
      <c r="X77" s="81">
        <f t="shared" si="2"/>
        <v>0.10484042539074914</v>
      </c>
      <c r="Y77">
        <f t="shared" si="19"/>
        <v>0.54174878401716708</v>
      </c>
      <c r="Z77" s="81">
        <f t="shared" si="20"/>
        <v>40.394228040143275</v>
      </c>
    </row>
    <row r="78" spans="1:26" hidden="1" x14ac:dyDescent="0.35">
      <c r="A78" s="36">
        <v>0.08</v>
      </c>
      <c r="B78" s="8">
        <v>4.0000000000000001E-3</v>
      </c>
      <c r="C78" s="5">
        <f t="shared" si="21"/>
        <v>0.4</v>
      </c>
      <c r="D78" s="2">
        <v>100</v>
      </c>
      <c r="E78" s="5">
        <f t="shared" si="22"/>
        <v>100.4</v>
      </c>
      <c r="F78" s="5">
        <f t="shared" si="23"/>
        <v>0.40000000000000568</v>
      </c>
      <c r="G78" s="8">
        <f t="shared" si="24"/>
        <v>3.1915382432114614E-2</v>
      </c>
      <c r="H78" s="5">
        <f t="shared" si="25"/>
        <v>3.1915382432114612</v>
      </c>
      <c r="I78" s="80">
        <f t="shared" si="9"/>
        <v>3.0010461999602356</v>
      </c>
      <c r="J78" s="80">
        <f t="shared" si="26"/>
        <v>0.94031340728678081</v>
      </c>
      <c r="K78" s="2">
        <f t="shared" si="10"/>
        <v>6.4996212780851853E-2</v>
      </c>
      <c r="L78" s="5">
        <f t="shared" si="11"/>
        <v>0.08</v>
      </c>
      <c r="M78" s="80">
        <f t="shared" si="1"/>
        <v>-1.5003787219148149E-2</v>
      </c>
      <c r="N78" s="80">
        <f t="shared" si="12"/>
        <v>4.9900265869218211E-2</v>
      </c>
      <c r="O78" s="6">
        <f t="shared" si="13"/>
        <v>0</v>
      </c>
      <c r="P78" s="6">
        <f t="shared" si="14"/>
        <v>0</v>
      </c>
      <c r="Q78" s="6">
        <f t="shared" si="15"/>
        <v>0</v>
      </c>
      <c r="R78" s="6">
        <f t="shared" si="16"/>
        <v>0</v>
      </c>
      <c r="S78" s="6">
        <f t="shared" si="17"/>
        <v>7.2888888888888892E-2</v>
      </c>
      <c r="T78" s="83">
        <f t="shared" si="18"/>
        <v>-7.8926761080370389E-3</v>
      </c>
      <c r="W78" s="80"/>
      <c r="X78" s="81">
        <f t="shared" si="2"/>
        <v>8.9900265869218204E-2</v>
      </c>
      <c r="Y78">
        <f t="shared" si="19"/>
        <v>0.53581676506200215</v>
      </c>
      <c r="Z78" s="81">
        <f t="shared" si="20"/>
        <v>40.394228040143275</v>
      </c>
    </row>
    <row r="79" spans="1:26" hidden="1" x14ac:dyDescent="0.35">
      <c r="A79" s="36">
        <v>0.1</v>
      </c>
      <c r="B79" s="8">
        <v>4.0000000000000001E-3</v>
      </c>
      <c r="C79" s="5">
        <f t="shared" si="21"/>
        <v>0.4</v>
      </c>
      <c r="D79" s="2">
        <v>100</v>
      </c>
      <c r="E79" s="5">
        <f t="shared" si="22"/>
        <v>100.4</v>
      </c>
      <c r="F79" s="5">
        <f t="shared" si="23"/>
        <v>0.40000000000000568</v>
      </c>
      <c r="G79" s="8">
        <f t="shared" si="24"/>
        <v>3.9894228040143274E-2</v>
      </c>
      <c r="H79" s="5">
        <f t="shared" si="25"/>
        <v>3.9894228040143274</v>
      </c>
      <c r="I79" s="80">
        <f t="shared" si="9"/>
        <v>3.798917459712122</v>
      </c>
      <c r="J79" s="80">
        <f t="shared" si="26"/>
        <v>0.95224739175037787</v>
      </c>
      <c r="K79" s="2">
        <f t="shared" si="10"/>
        <v>8.1748748519915315E-2</v>
      </c>
      <c r="L79" s="5">
        <f t="shared" si="11"/>
        <v>0.1</v>
      </c>
      <c r="M79" s="80">
        <f t="shared" si="1"/>
        <v>-1.825125148008469E-2</v>
      </c>
      <c r="N79" s="80">
        <f t="shared" si="12"/>
        <v>3.9920212695374567E-2</v>
      </c>
      <c r="O79" s="6">
        <f t="shared" si="13"/>
        <v>0</v>
      </c>
      <c r="P79" s="6">
        <f t="shared" si="14"/>
        <v>0</v>
      </c>
      <c r="Q79" s="6">
        <f t="shared" si="15"/>
        <v>0</v>
      </c>
      <c r="R79" s="6">
        <f t="shared" si="16"/>
        <v>0</v>
      </c>
      <c r="S79" s="6">
        <f t="shared" si="17"/>
        <v>8.8888888888888892E-2</v>
      </c>
      <c r="T79" s="83">
        <f t="shared" si="18"/>
        <v>-7.1401403689735771E-3</v>
      </c>
      <c r="W79" s="80"/>
      <c r="X79" s="81">
        <f t="shared" si="2"/>
        <v>8.9920212695374563E-2</v>
      </c>
      <c r="Y79">
        <f t="shared" si="19"/>
        <v>0.53582469059507321</v>
      </c>
      <c r="Z79" s="81">
        <f t="shared" si="20"/>
        <v>40.394228040143275</v>
      </c>
    </row>
    <row r="80" spans="1:26" hidden="1" x14ac:dyDescent="0.35">
      <c r="A80" s="36">
        <v>0.12</v>
      </c>
      <c r="B80" s="8">
        <v>4.0000000000000001E-3</v>
      </c>
      <c r="C80" s="5">
        <f t="shared" si="21"/>
        <v>0.4</v>
      </c>
      <c r="D80" s="2">
        <v>100</v>
      </c>
      <c r="E80" s="5">
        <f t="shared" si="22"/>
        <v>100.4</v>
      </c>
      <c r="F80" s="5">
        <f t="shared" si="23"/>
        <v>0.40000000000000568</v>
      </c>
      <c r="G80" s="8">
        <f t="shared" si="24"/>
        <v>4.7873073648171921E-2</v>
      </c>
      <c r="H80" s="5">
        <f t="shared" si="25"/>
        <v>4.7873073648171918</v>
      </c>
      <c r="I80" s="80">
        <f t="shared" si="9"/>
        <v>4.5966546953344505</v>
      </c>
      <c r="J80" s="80">
        <f t="shared" si="26"/>
        <v>0.96017538567005678</v>
      </c>
      <c r="K80" s="2">
        <f t="shared" si="10"/>
        <v>9.8426849083700738E-2</v>
      </c>
      <c r="L80" s="5">
        <f t="shared" si="11"/>
        <v>0.12</v>
      </c>
      <c r="M80" s="80">
        <f t="shared" si="1"/>
        <v>-2.1573150916299258E-2</v>
      </c>
      <c r="N80" s="80">
        <f t="shared" si="12"/>
        <v>3.3266843912812143E-2</v>
      </c>
      <c r="O80" s="6">
        <f t="shared" si="13"/>
        <v>0</v>
      </c>
      <c r="P80" s="6">
        <f t="shared" si="14"/>
        <v>0</v>
      </c>
      <c r="Q80" s="6">
        <f t="shared" si="15"/>
        <v>0</v>
      </c>
      <c r="R80" s="6">
        <f t="shared" si="16"/>
        <v>0</v>
      </c>
      <c r="S80" s="6">
        <f t="shared" si="17"/>
        <v>0.104</v>
      </c>
      <c r="T80" s="83">
        <f t="shared" si="18"/>
        <v>-5.5731509162992576E-3</v>
      </c>
      <c r="W80" s="80"/>
      <c r="X80" s="81">
        <f t="shared" si="2"/>
        <v>9.3266843912812147E-2</v>
      </c>
      <c r="Y80">
        <f t="shared" si="19"/>
        <v>0.53715421401877217</v>
      </c>
      <c r="Z80" s="81">
        <f t="shared" si="20"/>
        <v>40.394228040143275</v>
      </c>
    </row>
    <row r="81" spans="1:26" hidden="1" x14ac:dyDescent="0.35">
      <c r="A81" s="36">
        <v>0.15</v>
      </c>
      <c r="B81" s="8">
        <v>4.0000000000000001E-3</v>
      </c>
      <c r="C81" s="5">
        <f t="shared" si="21"/>
        <v>0.4</v>
      </c>
      <c r="D81" s="2">
        <v>100</v>
      </c>
      <c r="E81" s="5">
        <f t="shared" si="22"/>
        <v>100.4</v>
      </c>
      <c r="F81" s="5">
        <f t="shared" si="23"/>
        <v>0.40000000000000568</v>
      </c>
      <c r="G81" s="8">
        <f t="shared" si="24"/>
        <v>5.9841342060214901E-2</v>
      </c>
      <c r="H81" s="5">
        <f t="shared" si="25"/>
        <v>5.9841342060214897</v>
      </c>
      <c r="I81" s="80">
        <f t="shared" si="9"/>
        <v>5.7926032268099021</v>
      </c>
      <c r="J81" s="80">
        <f t="shared" si="26"/>
        <v>0.96799353546936484</v>
      </c>
      <c r="K81" s="2">
        <f t="shared" si="10"/>
        <v>0.12296390992875948</v>
      </c>
      <c r="L81" s="5">
        <f t="shared" si="11"/>
        <v>0.15</v>
      </c>
      <c r="M81" s="80">
        <f t="shared" si="1"/>
        <v>-2.7036090071240512E-2</v>
      </c>
      <c r="N81" s="80">
        <f t="shared" si="12"/>
        <v>2.6613475130249711E-2</v>
      </c>
      <c r="O81" s="6">
        <f t="shared" si="13"/>
        <v>0</v>
      </c>
      <c r="P81" s="6">
        <f t="shared" si="14"/>
        <v>0</v>
      </c>
      <c r="Q81" s="6">
        <f t="shared" si="15"/>
        <v>0</v>
      </c>
      <c r="R81" s="6">
        <f t="shared" si="16"/>
        <v>0</v>
      </c>
      <c r="S81" s="6">
        <f t="shared" si="17"/>
        <v>0.125</v>
      </c>
      <c r="T81" s="83">
        <f t="shared" si="18"/>
        <v>-2.0360900712405178E-3</v>
      </c>
      <c r="W81" s="80"/>
      <c r="X81" s="81">
        <f t="shared" si="2"/>
        <v>0.10161347513024971</v>
      </c>
      <c r="Y81">
        <f t="shared" si="19"/>
        <v>0.54046825839582624</v>
      </c>
      <c r="Z81" s="81">
        <f t="shared" si="20"/>
        <v>40.394228040143275</v>
      </c>
    </row>
    <row r="82" spans="1:26" hidden="1" x14ac:dyDescent="0.35">
      <c r="A82" s="36">
        <v>0.2</v>
      </c>
      <c r="B82" s="8">
        <v>4.0000000000000001E-3</v>
      </c>
      <c r="C82" s="5">
        <f t="shared" si="21"/>
        <v>0.4</v>
      </c>
      <c r="D82" s="2">
        <v>100</v>
      </c>
      <c r="E82" s="5">
        <f t="shared" si="22"/>
        <v>100.4</v>
      </c>
      <c r="F82" s="5">
        <f t="shared" si="23"/>
        <v>0.40000000000000568</v>
      </c>
      <c r="G82" s="8">
        <f t="shared" si="24"/>
        <v>7.9788456080286549E-2</v>
      </c>
      <c r="H82" s="5">
        <f t="shared" si="25"/>
        <v>7.9788456080286547</v>
      </c>
      <c r="I82" s="80">
        <f t="shared" si="9"/>
        <v>7.7830831801942253</v>
      </c>
      <c r="J82" s="80">
        <f t="shared" si="26"/>
        <v>0.97546481816399044</v>
      </c>
      <c r="K82" s="2">
        <f t="shared" si="10"/>
        <v>0.16102291410866887</v>
      </c>
      <c r="L82" s="5">
        <f t="shared" si="11"/>
        <v>0.2</v>
      </c>
      <c r="M82" s="80">
        <f t="shared" si="1"/>
        <v>-3.8977085891331142E-2</v>
      </c>
      <c r="N82" s="80">
        <f t="shared" si="12"/>
        <v>1.9960106347687284E-2</v>
      </c>
      <c r="O82" s="6">
        <f t="shared" si="13"/>
        <v>0</v>
      </c>
      <c r="P82" s="6">
        <f t="shared" si="14"/>
        <v>0</v>
      </c>
      <c r="Q82" s="6">
        <f t="shared" si="15"/>
        <v>0</v>
      </c>
      <c r="R82" s="6">
        <f t="shared" si="16"/>
        <v>0</v>
      </c>
      <c r="S82" s="6">
        <f t="shared" si="17"/>
        <v>0.15555555555555556</v>
      </c>
      <c r="T82" s="83">
        <f t="shared" si="18"/>
        <v>5.4673585531133106E-3</v>
      </c>
      <c r="W82" s="80"/>
      <c r="X82" s="81">
        <f t="shared" si="2"/>
        <v>0.11996010634768729</v>
      </c>
      <c r="Y82">
        <f t="shared" si="19"/>
        <v>0.54774262489650893</v>
      </c>
      <c r="Z82" s="81">
        <f t="shared" si="20"/>
        <v>40.394228040143275</v>
      </c>
    </row>
    <row r="83" spans="1:26" hidden="1" x14ac:dyDescent="0.35">
      <c r="A83" s="36">
        <v>0.25</v>
      </c>
      <c r="B83" s="8">
        <v>4.0000000000000001E-3</v>
      </c>
      <c r="C83" s="5">
        <f t="shared" si="21"/>
        <v>0.4</v>
      </c>
      <c r="D83" s="2">
        <v>100</v>
      </c>
      <c r="E83" s="5">
        <f t="shared" si="22"/>
        <v>100.4</v>
      </c>
      <c r="F83" s="5">
        <f t="shared" si="23"/>
        <v>0.40000000000000568</v>
      </c>
      <c r="G83" s="8">
        <f t="shared" si="24"/>
        <v>9.9735570100358176E-2</v>
      </c>
      <c r="H83" s="5">
        <f t="shared" si="25"/>
        <v>9.9735570100358171</v>
      </c>
      <c r="I83" s="80">
        <f t="shared" si="9"/>
        <v>9.7688043826469269</v>
      </c>
      <c r="J83" s="80">
        <f t="shared" ref="J83:J114" si="27">I83/H83</f>
        <v>0.97947045099528085</v>
      </c>
      <c r="K83" s="2">
        <f t="shared" si="10"/>
        <v>0.19283419000192983</v>
      </c>
      <c r="L83" s="5">
        <f t="shared" si="11"/>
        <v>0.25</v>
      </c>
      <c r="M83" s="80">
        <f t="shared" ref="M83:M146" si="28">K83-A83</f>
        <v>-5.7165809998070166E-2</v>
      </c>
      <c r="N83" s="80">
        <f t="shared" si="12"/>
        <v>1.5968085078149827E-2</v>
      </c>
      <c r="O83" s="6">
        <f t="shared" si="13"/>
        <v>0</v>
      </c>
      <c r="P83" s="6">
        <f t="shared" si="14"/>
        <v>0</v>
      </c>
      <c r="Q83" s="6">
        <f t="shared" si="15"/>
        <v>0</v>
      </c>
      <c r="R83" s="6">
        <f t="shared" si="16"/>
        <v>0</v>
      </c>
      <c r="S83" s="6">
        <f t="shared" si="17"/>
        <v>0.18055555555555555</v>
      </c>
      <c r="T83" s="83">
        <f t="shared" si="18"/>
        <v>1.2278634446374281E-2</v>
      </c>
      <c r="W83" s="80"/>
      <c r="X83" s="81">
        <f t="shared" ref="X83:X146" si="29">N83+0.5*A83</f>
        <v>0.14096808507814984</v>
      </c>
      <c r="Y83">
        <f t="shared" si="19"/>
        <v>0.556052422526083</v>
      </c>
      <c r="Z83" s="81">
        <f t="shared" si="20"/>
        <v>40.394228040143275</v>
      </c>
    </row>
    <row r="84" spans="1:26" hidden="1" x14ac:dyDescent="0.35">
      <c r="A84" s="36">
        <v>0.3</v>
      </c>
      <c r="B84" s="8">
        <v>4.0000000000000001E-3</v>
      </c>
      <c r="C84" s="5">
        <f t="shared" si="21"/>
        <v>0.4</v>
      </c>
      <c r="D84" s="2">
        <v>100</v>
      </c>
      <c r="E84" s="5">
        <f t="shared" si="22"/>
        <v>100.4</v>
      </c>
      <c r="F84" s="5">
        <f t="shared" si="23"/>
        <v>0.40000000000000568</v>
      </c>
      <c r="G84" s="8">
        <f t="shared" si="24"/>
        <v>0.1196826841204298</v>
      </c>
      <c r="H84" s="5">
        <f t="shared" si="25"/>
        <v>11.968268412042979</v>
      </c>
      <c r="I84" s="80">
        <f t="shared" ref="I84:I147" si="30">($E84*NORMDIST(LN($E84/$D84)/$A84+0.5*$A84,0,1,TRUE)-$D84*NORMDIST(LN($E84/$D84)/$A84-0.5*$A84,0,1,TRUE)-$F84)</f>
        <v>11.748435381743292</v>
      </c>
      <c r="J84" s="80">
        <f t="shared" si="27"/>
        <v>0.98163201035176628</v>
      </c>
      <c r="K84" s="2">
        <f t="shared" ref="K84:K147" si="31">-B84/LN(J84)</f>
        <v>0.21576397801675296</v>
      </c>
      <c r="L84" s="5">
        <f t="shared" ref="L84:L147" si="32">A84</f>
        <v>0.3</v>
      </c>
      <c r="M84" s="80">
        <f t="shared" si="28"/>
        <v>-8.4236021983247034E-2</v>
      </c>
      <c r="N84" s="80">
        <f t="shared" ref="N84:N147" si="33">LN(1+B84)/A84</f>
        <v>1.3306737565124856E-2</v>
      </c>
      <c r="O84" s="6">
        <f t="shared" ref="O84:O147" si="34">IF($B$10=B84,1,0)</f>
        <v>0</v>
      </c>
      <c r="P84" s="6">
        <f t="shared" ref="P84:P147" si="35">O84*A84</f>
        <v>0</v>
      </c>
      <c r="Q84" s="6">
        <f t="shared" ref="Q84:Q147" si="36">IF(ISNUMBER(K84),O84*M84,0)</f>
        <v>0</v>
      </c>
      <c r="R84" s="6">
        <f t="shared" ref="R84:R147" si="37">IF(O84=0,0,$C$10*A84^2)</f>
        <v>0</v>
      </c>
      <c r="S84" s="6">
        <f t="shared" ref="S84:S147" si="38">A84-1/($B$11*B84+0.5)*A84^2</f>
        <v>0.19999999999999998</v>
      </c>
      <c r="T84" s="83">
        <f t="shared" ref="T84:T147" si="39">K84-S84</f>
        <v>1.5763978016752972E-2</v>
      </c>
      <c r="W84" s="80"/>
      <c r="X84" s="81">
        <f t="shared" si="29"/>
        <v>0.16330673756512484</v>
      </c>
      <c r="Y84">
        <f t="shared" ref="Y84:Y147" si="40">NORMDIST(X84,0,1,TRUE)</f>
        <v>0.56486153534578487</v>
      </c>
      <c r="Z84" s="81">
        <f t="shared" si="20"/>
        <v>40.394228040143275</v>
      </c>
    </row>
    <row r="85" spans="1:26" hidden="1" x14ac:dyDescent="0.35">
      <c r="A85" s="36">
        <v>0.35</v>
      </c>
      <c r="B85" s="8">
        <v>4.0000000000000001E-3</v>
      </c>
      <c r="C85" s="5">
        <f t="shared" si="21"/>
        <v>0.4</v>
      </c>
      <c r="D85" s="2">
        <v>100</v>
      </c>
      <c r="E85" s="5">
        <f t="shared" si="22"/>
        <v>100.4</v>
      </c>
      <c r="F85" s="5">
        <f t="shared" si="23"/>
        <v>0.40000000000000568</v>
      </c>
      <c r="G85" s="8">
        <f t="shared" si="24"/>
        <v>0.13962979814050144</v>
      </c>
      <c r="H85" s="5">
        <f t="shared" si="25"/>
        <v>13.962979814050144</v>
      </c>
      <c r="I85" s="80">
        <f t="shared" si="30"/>
        <v>13.720716925006833</v>
      </c>
      <c r="J85" s="80">
        <f t="shared" si="27"/>
        <v>0.98264962835514991</v>
      </c>
      <c r="K85" s="2">
        <f t="shared" si="31"/>
        <v>0.22853677791722191</v>
      </c>
      <c r="L85" s="5">
        <f t="shared" si="32"/>
        <v>0.35</v>
      </c>
      <c r="M85" s="80">
        <f t="shared" si="28"/>
        <v>-0.12146322208277807</v>
      </c>
      <c r="N85" s="80">
        <f t="shared" si="33"/>
        <v>1.1405775055821306E-2</v>
      </c>
      <c r="O85" s="6">
        <f t="shared" si="34"/>
        <v>0</v>
      </c>
      <c r="P85" s="6">
        <f t="shared" si="35"/>
        <v>0</v>
      </c>
      <c r="Q85" s="6">
        <f t="shared" si="36"/>
        <v>0</v>
      </c>
      <c r="R85" s="6">
        <f t="shared" si="37"/>
        <v>0</v>
      </c>
      <c r="S85" s="6">
        <f t="shared" si="38"/>
        <v>0.21388888888888888</v>
      </c>
      <c r="T85" s="83">
        <f t="shared" si="39"/>
        <v>1.4647889028333028E-2</v>
      </c>
      <c r="W85" s="80"/>
      <c r="X85" s="81">
        <f t="shared" si="29"/>
        <v>0.18640577505582129</v>
      </c>
      <c r="Y85">
        <f t="shared" si="40"/>
        <v>0.57393671801894564</v>
      </c>
      <c r="Z85" s="81">
        <f t="shared" si="20"/>
        <v>40.394228040143275</v>
      </c>
    </row>
    <row r="86" spans="1:26" hidden="1" x14ac:dyDescent="0.35">
      <c r="A86" s="36">
        <v>0.4</v>
      </c>
      <c r="B86" s="8">
        <v>4.0000000000000001E-3</v>
      </c>
      <c r="C86" s="5">
        <f t="shared" si="21"/>
        <v>0.4</v>
      </c>
      <c r="D86" s="2">
        <v>100</v>
      </c>
      <c r="E86" s="5">
        <f t="shared" si="22"/>
        <v>100.4</v>
      </c>
      <c r="F86" s="5">
        <f t="shared" si="23"/>
        <v>0.40000000000000568</v>
      </c>
      <c r="G86" s="8">
        <f t="shared" si="24"/>
        <v>0.1595769121605731</v>
      </c>
      <c r="H86" s="5">
        <f t="shared" si="25"/>
        <v>15.957691216057309</v>
      </c>
      <c r="I86" s="80">
        <f t="shared" si="30"/>
        <v>15.684426290234541</v>
      </c>
      <c r="J86" s="80">
        <f t="shared" si="27"/>
        <v>0.9828756602616926</v>
      </c>
      <c r="K86" s="2">
        <f t="shared" si="31"/>
        <v>0.23157989080657712</v>
      </c>
      <c r="L86" s="5">
        <f t="shared" si="32"/>
        <v>0.4</v>
      </c>
      <c r="M86" s="80">
        <f t="shared" si="28"/>
        <v>-0.1684201091934229</v>
      </c>
      <c r="N86" s="80">
        <f t="shared" si="33"/>
        <v>9.9800531738436418E-3</v>
      </c>
      <c r="O86" s="6">
        <f t="shared" si="34"/>
        <v>0</v>
      </c>
      <c r="P86" s="6">
        <f t="shared" si="35"/>
        <v>0</v>
      </c>
      <c r="Q86" s="6">
        <f t="shared" si="36"/>
        <v>0</v>
      </c>
      <c r="R86" s="6">
        <f t="shared" si="37"/>
        <v>0</v>
      </c>
      <c r="S86" s="6">
        <f t="shared" si="38"/>
        <v>0.22222222222222221</v>
      </c>
      <c r="T86" s="83">
        <f t="shared" si="39"/>
        <v>9.3576685843549112E-3</v>
      </c>
      <c r="W86" s="80"/>
      <c r="X86" s="81">
        <f t="shared" si="29"/>
        <v>0.20998005317384366</v>
      </c>
      <c r="Y86">
        <f t="shared" si="40"/>
        <v>0.58315837937924886</v>
      </c>
      <c r="Z86" s="81">
        <f t="shared" si="20"/>
        <v>40.394228040143275</v>
      </c>
    </row>
    <row r="87" spans="1:26" hidden="1" x14ac:dyDescent="0.35">
      <c r="A87" s="36">
        <v>0.5</v>
      </c>
      <c r="B87" s="8">
        <v>4.0000000000000001E-3</v>
      </c>
      <c r="C87" s="5">
        <f t="shared" si="21"/>
        <v>0.4</v>
      </c>
      <c r="D87" s="2">
        <v>100</v>
      </c>
      <c r="E87" s="5">
        <f t="shared" si="22"/>
        <v>100.4</v>
      </c>
      <c r="F87" s="5">
        <f t="shared" si="23"/>
        <v>0.40000000000000568</v>
      </c>
      <c r="G87" s="8">
        <f t="shared" si="24"/>
        <v>0.19947114020071635</v>
      </c>
      <c r="H87" s="5">
        <f t="shared" si="25"/>
        <v>19.947114020071634</v>
      </c>
      <c r="I87" s="80">
        <f t="shared" si="30"/>
        <v>19.581365098311693</v>
      </c>
      <c r="J87" s="80">
        <f t="shared" si="27"/>
        <v>0.9816640682260146</v>
      </c>
      <c r="K87" s="2">
        <f t="shared" si="31"/>
        <v>0.2161447303018946</v>
      </c>
      <c r="L87" s="5">
        <f t="shared" si="32"/>
        <v>0.5</v>
      </c>
      <c r="M87" s="80">
        <f t="shared" si="28"/>
        <v>-0.28385526969810537</v>
      </c>
      <c r="N87" s="80">
        <f t="shared" si="33"/>
        <v>7.9840425390749134E-3</v>
      </c>
      <c r="O87" s="6">
        <f t="shared" si="34"/>
        <v>0</v>
      </c>
      <c r="P87" s="6">
        <f t="shared" si="35"/>
        <v>0</v>
      </c>
      <c r="Q87" s="6">
        <f t="shared" si="36"/>
        <v>0</v>
      </c>
      <c r="R87" s="6">
        <f t="shared" si="37"/>
        <v>0</v>
      </c>
      <c r="S87" s="6">
        <f t="shared" si="38"/>
        <v>0.22222222222222221</v>
      </c>
      <c r="T87" s="83">
        <f t="shared" si="39"/>
        <v>-6.0774919203276101E-3</v>
      </c>
      <c r="W87" s="80"/>
      <c r="X87" s="81">
        <f t="shared" si="29"/>
        <v>0.25798404253907492</v>
      </c>
      <c r="Y87">
        <f t="shared" si="40"/>
        <v>0.60179038865886247</v>
      </c>
      <c r="Z87" s="81">
        <f t="shared" si="20"/>
        <v>40.394228040143275</v>
      </c>
    </row>
    <row r="88" spans="1:26" hidden="1" x14ac:dyDescent="0.35">
      <c r="A88" s="36">
        <v>0.6</v>
      </c>
      <c r="B88" s="8">
        <v>4.0000000000000001E-3</v>
      </c>
      <c r="C88" s="5">
        <f t="shared" si="21"/>
        <v>0.4</v>
      </c>
      <c r="D88" s="2">
        <v>100</v>
      </c>
      <c r="E88" s="5">
        <f t="shared" si="22"/>
        <v>100.4</v>
      </c>
      <c r="F88" s="5">
        <f t="shared" si="23"/>
        <v>0.40000000000000568</v>
      </c>
      <c r="G88" s="8">
        <f t="shared" si="24"/>
        <v>0.23936536824085961</v>
      </c>
      <c r="H88" s="5">
        <f t="shared" si="25"/>
        <v>23.936536824085959</v>
      </c>
      <c r="I88" s="80">
        <f t="shared" si="30"/>
        <v>23.429956507382556</v>
      </c>
      <c r="J88" s="80">
        <f t="shared" si="27"/>
        <v>0.97883652424632872</v>
      </c>
      <c r="K88" s="2">
        <f t="shared" si="31"/>
        <v>0.18699774061974822</v>
      </c>
      <c r="L88" s="5">
        <f t="shared" si="32"/>
        <v>0.6</v>
      </c>
      <c r="M88" s="80">
        <f t="shared" si="28"/>
        <v>-0.41300225938025176</v>
      </c>
      <c r="N88" s="80">
        <f t="shared" si="33"/>
        <v>6.6533687825624278E-3</v>
      </c>
      <c r="O88" s="6">
        <f t="shared" si="34"/>
        <v>0</v>
      </c>
      <c r="P88" s="6">
        <f t="shared" si="35"/>
        <v>0</v>
      </c>
      <c r="Q88" s="6">
        <f t="shared" si="36"/>
        <v>0</v>
      </c>
      <c r="R88" s="6">
        <f t="shared" si="37"/>
        <v>0</v>
      </c>
      <c r="S88" s="6">
        <f t="shared" si="38"/>
        <v>0.19999999999999996</v>
      </c>
      <c r="T88" s="83">
        <f t="shared" si="39"/>
        <v>-1.3002259380251735E-2</v>
      </c>
      <c r="W88" s="80"/>
      <c r="X88" s="81">
        <f t="shared" si="29"/>
        <v>0.30665336878256244</v>
      </c>
      <c r="Y88">
        <f t="shared" si="40"/>
        <v>0.62044638651287043</v>
      </c>
      <c r="Z88" s="81">
        <f t="shared" si="20"/>
        <v>40.394228040143275</v>
      </c>
    </row>
    <row r="89" spans="1:26" x14ac:dyDescent="0.35">
      <c r="A89" s="36">
        <v>0.01</v>
      </c>
      <c r="B89" s="8">
        <v>5.0000000000000001E-3</v>
      </c>
      <c r="C89" s="5">
        <f t="shared" si="21"/>
        <v>0.5</v>
      </c>
      <c r="D89" s="2">
        <v>100</v>
      </c>
      <c r="E89" s="5">
        <f t="shared" si="22"/>
        <v>100.5</v>
      </c>
      <c r="F89" s="5">
        <f t="shared" si="23"/>
        <v>0.5</v>
      </c>
      <c r="G89" s="8">
        <f t="shared" si="24"/>
        <v>3.9894228040143268E-3</v>
      </c>
      <c r="H89" s="5">
        <f t="shared" si="25"/>
        <v>0.39894228040143265</v>
      </c>
      <c r="I89" s="80">
        <f t="shared" si="30"/>
        <v>0.19867479153147372</v>
      </c>
      <c r="J89" s="80">
        <f t="shared" si="27"/>
        <v>0.4980038499092117</v>
      </c>
      <c r="K89" s="2">
        <f t="shared" si="31"/>
        <v>7.1720836784557899E-3</v>
      </c>
      <c r="L89" s="5">
        <f t="shared" si="32"/>
        <v>0.01</v>
      </c>
      <c r="M89" s="80">
        <f t="shared" si="28"/>
        <v>-2.8279163215442103E-3</v>
      </c>
      <c r="N89" s="80">
        <f t="shared" si="33"/>
        <v>0.49875415110389676</v>
      </c>
      <c r="O89" s="6">
        <f t="shared" si="34"/>
        <v>0</v>
      </c>
      <c r="P89" s="6">
        <f t="shared" si="35"/>
        <v>0</v>
      </c>
      <c r="Q89" s="6">
        <f t="shared" si="36"/>
        <v>0</v>
      </c>
      <c r="R89" s="6">
        <f t="shared" si="37"/>
        <v>0</v>
      </c>
      <c r="S89" s="6">
        <f t="shared" si="38"/>
        <v>9.9000000000000008E-3</v>
      </c>
      <c r="T89" s="83">
        <f t="shared" si="39"/>
        <v>-2.7279163215442109E-3</v>
      </c>
      <c r="W89" s="80"/>
      <c r="X89" s="81">
        <f t="shared" si="29"/>
        <v>0.50375415110389676</v>
      </c>
      <c r="Y89">
        <f t="shared" si="40"/>
        <v>0.69278292491326232</v>
      </c>
      <c r="Z89" s="81">
        <f t="shared" si="20"/>
        <v>40.394228040143275</v>
      </c>
    </row>
    <row r="90" spans="1:26" x14ac:dyDescent="0.35">
      <c r="A90" s="36">
        <v>0.02</v>
      </c>
      <c r="B90" s="8">
        <v>5.0000000000000001E-3</v>
      </c>
      <c r="C90" s="5">
        <f t="shared" si="21"/>
        <v>0.5</v>
      </c>
      <c r="D90" s="2">
        <v>100</v>
      </c>
      <c r="E90" s="5">
        <f t="shared" si="22"/>
        <v>100.5</v>
      </c>
      <c r="F90" s="5">
        <f t="shared" si="23"/>
        <v>0.5</v>
      </c>
      <c r="G90" s="8">
        <f t="shared" si="24"/>
        <v>7.9788456080286535E-3</v>
      </c>
      <c r="H90" s="5">
        <f t="shared" si="25"/>
        <v>0.79788456080286529</v>
      </c>
      <c r="I90" s="80">
        <f t="shared" si="30"/>
        <v>0.574608357412977</v>
      </c>
      <c r="J90" s="80">
        <f t="shared" si="27"/>
        <v>0.72016477776532195</v>
      </c>
      <c r="K90" s="2">
        <f t="shared" si="31"/>
        <v>1.5231121524400081E-2</v>
      </c>
      <c r="L90" s="5">
        <f t="shared" si="32"/>
        <v>0.02</v>
      </c>
      <c r="M90" s="80">
        <f t="shared" si="28"/>
        <v>-4.7688784755999195E-3</v>
      </c>
      <c r="N90" s="80">
        <f t="shared" si="33"/>
        <v>0.24937707555194838</v>
      </c>
      <c r="O90" s="6">
        <f t="shared" si="34"/>
        <v>0</v>
      </c>
      <c r="P90" s="6">
        <f t="shared" si="35"/>
        <v>0</v>
      </c>
      <c r="Q90" s="6">
        <f t="shared" si="36"/>
        <v>0</v>
      </c>
      <c r="R90" s="6">
        <f t="shared" si="37"/>
        <v>0</v>
      </c>
      <c r="S90" s="6">
        <f t="shared" si="38"/>
        <v>1.9599999999999999E-2</v>
      </c>
      <c r="T90" s="83">
        <f t="shared" si="39"/>
        <v>-4.3688784755999185E-3</v>
      </c>
      <c r="W90" s="80"/>
      <c r="X90" s="81">
        <f t="shared" si="29"/>
        <v>0.25937707555194839</v>
      </c>
      <c r="Y90">
        <f t="shared" si="40"/>
        <v>0.60232784216075586</v>
      </c>
      <c r="Z90" s="81">
        <f t="shared" si="20"/>
        <v>40.394228040143275</v>
      </c>
    </row>
    <row r="91" spans="1:26" x14ac:dyDescent="0.35">
      <c r="A91" s="36">
        <v>0.05</v>
      </c>
      <c r="B91" s="8">
        <v>5.0000000000000001E-3</v>
      </c>
      <c r="C91" s="5">
        <f t="shared" si="21"/>
        <v>0.5</v>
      </c>
      <c r="D91" s="2">
        <v>100</v>
      </c>
      <c r="E91" s="5">
        <f t="shared" si="22"/>
        <v>100.5</v>
      </c>
      <c r="F91" s="5">
        <f t="shared" si="23"/>
        <v>0.5</v>
      </c>
      <c r="G91" s="8">
        <f t="shared" si="24"/>
        <v>1.9947114020071637E-2</v>
      </c>
      <c r="H91" s="5">
        <f t="shared" si="25"/>
        <v>1.9947114020071637</v>
      </c>
      <c r="I91" s="80">
        <f t="shared" si="30"/>
        <v>1.7594272518844889</v>
      </c>
      <c r="J91" s="80">
        <f t="shared" si="27"/>
        <v>0.88204601934599569</v>
      </c>
      <c r="K91" s="2">
        <f t="shared" si="31"/>
        <v>3.9837130447231368E-2</v>
      </c>
      <c r="L91" s="5">
        <f t="shared" si="32"/>
        <v>0.05</v>
      </c>
      <c r="M91" s="80">
        <f t="shared" si="28"/>
        <v>-1.0162869552768634E-2</v>
      </c>
      <c r="N91" s="80">
        <f t="shared" si="33"/>
        <v>9.9750830220779352E-2</v>
      </c>
      <c r="O91" s="6">
        <f t="shared" si="34"/>
        <v>0</v>
      </c>
      <c r="P91" s="6">
        <f t="shared" si="35"/>
        <v>0</v>
      </c>
      <c r="Q91" s="6">
        <f t="shared" si="36"/>
        <v>0</v>
      </c>
      <c r="R91" s="6">
        <f t="shared" si="37"/>
        <v>0</v>
      </c>
      <c r="S91" s="6">
        <f t="shared" si="38"/>
        <v>4.7500000000000001E-2</v>
      </c>
      <c r="T91" s="83">
        <f t="shared" si="39"/>
        <v>-7.6628695527686322E-3</v>
      </c>
      <c r="W91" s="80"/>
      <c r="X91" s="81">
        <f t="shared" si="29"/>
        <v>0.12475083022077935</v>
      </c>
      <c r="Y91">
        <f t="shared" si="40"/>
        <v>0.54963959250606609</v>
      </c>
      <c r="Z91" s="81">
        <f t="shared" si="20"/>
        <v>40.394228040143275</v>
      </c>
    </row>
    <row r="92" spans="1:26" x14ac:dyDescent="0.35">
      <c r="A92" s="36">
        <v>0.08</v>
      </c>
      <c r="B92" s="8">
        <v>5.0000000000000001E-3</v>
      </c>
      <c r="C92" s="5">
        <f t="shared" si="21"/>
        <v>0.5</v>
      </c>
      <c r="D92" s="2">
        <v>100</v>
      </c>
      <c r="E92" s="5">
        <f t="shared" si="22"/>
        <v>100.5</v>
      </c>
      <c r="F92" s="5">
        <f t="shared" si="23"/>
        <v>0.5</v>
      </c>
      <c r="G92" s="8">
        <f t="shared" si="24"/>
        <v>3.1915382432114614E-2</v>
      </c>
      <c r="H92" s="5">
        <f t="shared" si="25"/>
        <v>3.1915382432114612</v>
      </c>
      <c r="I92" s="80">
        <f t="shared" si="30"/>
        <v>2.954875043007938</v>
      </c>
      <c r="J92" s="80">
        <f t="shared" si="27"/>
        <v>0.92584666635064894</v>
      </c>
      <c r="K92" s="2">
        <f t="shared" si="31"/>
        <v>6.489575231766756E-2</v>
      </c>
      <c r="L92" s="5">
        <f t="shared" si="32"/>
        <v>0.08</v>
      </c>
      <c r="M92" s="80">
        <f t="shared" si="28"/>
        <v>-1.5104247682332442E-2</v>
      </c>
      <c r="N92" s="80">
        <f t="shared" si="33"/>
        <v>6.2344268887987095E-2</v>
      </c>
      <c r="O92" s="6">
        <f t="shared" si="34"/>
        <v>0</v>
      </c>
      <c r="P92" s="6">
        <f t="shared" si="35"/>
        <v>0</v>
      </c>
      <c r="Q92" s="6">
        <f t="shared" si="36"/>
        <v>0</v>
      </c>
      <c r="R92" s="6">
        <f t="shared" si="37"/>
        <v>0</v>
      </c>
      <c r="S92" s="6">
        <f t="shared" si="38"/>
        <v>7.3599999999999999E-2</v>
      </c>
      <c r="T92" s="83">
        <f t="shared" si="39"/>
        <v>-8.7042476823324388E-3</v>
      </c>
      <c r="W92" s="80"/>
      <c r="X92" s="81">
        <f t="shared" si="29"/>
        <v>0.10234426888798709</v>
      </c>
      <c r="Y92">
        <f t="shared" si="40"/>
        <v>0.54075829086587246</v>
      </c>
      <c r="Z92" s="81">
        <f t="shared" si="20"/>
        <v>40.394228040143275</v>
      </c>
    </row>
    <row r="93" spans="1:26" x14ac:dyDescent="0.35">
      <c r="A93" s="36">
        <v>0.1</v>
      </c>
      <c r="B93" s="8">
        <v>5.0000000000000001E-3</v>
      </c>
      <c r="C93" s="5">
        <f t="shared" si="21"/>
        <v>0.5</v>
      </c>
      <c r="D93" s="2">
        <v>100</v>
      </c>
      <c r="E93" s="5">
        <f t="shared" si="22"/>
        <v>100.5</v>
      </c>
      <c r="F93" s="5">
        <f t="shared" si="23"/>
        <v>0.5</v>
      </c>
      <c r="G93" s="8">
        <f t="shared" si="24"/>
        <v>3.9894228040143274E-2</v>
      </c>
      <c r="H93" s="5">
        <f t="shared" si="25"/>
        <v>3.9894228040143274</v>
      </c>
      <c r="I93" s="80">
        <f t="shared" si="30"/>
        <v>3.7526976773019882</v>
      </c>
      <c r="J93" s="80">
        <f t="shared" si="27"/>
        <v>0.94066181040672447</v>
      </c>
      <c r="K93" s="2">
        <f t="shared" si="31"/>
        <v>8.1737279683868347E-2</v>
      </c>
      <c r="L93" s="5">
        <f t="shared" si="32"/>
        <v>0.1</v>
      </c>
      <c r="M93" s="80">
        <f t="shared" si="28"/>
        <v>-1.8262720316131659E-2</v>
      </c>
      <c r="N93" s="80">
        <f t="shared" si="33"/>
        <v>4.9875415110389676E-2</v>
      </c>
      <c r="O93" s="6">
        <f t="shared" si="34"/>
        <v>0</v>
      </c>
      <c r="P93" s="6">
        <f t="shared" si="35"/>
        <v>0</v>
      </c>
      <c r="Q93" s="6">
        <f t="shared" si="36"/>
        <v>0</v>
      </c>
      <c r="R93" s="6">
        <f t="shared" si="37"/>
        <v>0</v>
      </c>
      <c r="S93" s="6">
        <f t="shared" si="38"/>
        <v>0.09</v>
      </c>
      <c r="T93" s="83">
        <f t="shared" si="39"/>
        <v>-8.2627203161316498E-3</v>
      </c>
      <c r="W93" s="80"/>
      <c r="X93" s="81">
        <f t="shared" si="29"/>
        <v>9.9875415110389679E-2</v>
      </c>
      <c r="Y93">
        <f t="shared" si="40"/>
        <v>0.53977838267978484</v>
      </c>
      <c r="Z93" s="81">
        <f t="shared" si="20"/>
        <v>40.394228040143275</v>
      </c>
    </row>
    <row r="94" spans="1:26" x14ac:dyDescent="0.35">
      <c r="A94" s="36">
        <v>0.12</v>
      </c>
      <c r="B94" s="8">
        <v>5.0000000000000001E-3</v>
      </c>
      <c r="C94" s="5">
        <f t="shared" si="21"/>
        <v>0.5</v>
      </c>
      <c r="D94" s="2">
        <v>100</v>
      </c>
      <c r="E94" s="5">
        <f t="shared" si="22"/>
        <v>100.5</v>
      </c>
      <c r="F94" s="5">
        <f t="shared" si="23"/>
        <v>0.5</v>
      </c>
      <c r="G94" s="8">
        <f t="shared" si="24"/>
        <v>4.7873073648171921E-2</v>
      </c>
      <c r="H94" s="5">
        <f t="shared" si="25"/>
        <v>4.7873073648171918</v>
      </c>
      <c r="I94" s="80">
        <f t="shared" si="30"/>
        <v>4.5505348637565035</v>
      </c>
      <c r="J94" s="80">
        <f t="shared" si="27"/>
        <v>0.95054161284884831</v>
      </c>
      <c r="K94" s="2">
        <f t="shared" si="31"/>
        <v>9.8573954154053789E-2</v>
      </c>
      <c r="L94" s="5">
        <f t="shared" si="32"/>
        <v>0.12</v>
      </c>
      <c r="M94" s="80">
        <f t="shared" si="28"/>
        <v>-2.1426045845946207E-2</v>
      </c>
      <c r="N94" s="80">
        <f t="shared" si="33"/>
        <v>4.1562845925324735E-2</v>
      </c>
      <c r="O94" s="6">
        <f t="shared" si="34"/>
        <v>0</v>
      </c>
      <c r="P94" s="6">
        <f t="shared" si="35"/>
        <v>0</v>
      </c>
      <c r="Q94" s="6">
        <f t="shared" si="36"/>
        <v>0</v>
      </c>
      <c r="R94" s="6">
        <f t="shared" si="37"/>
        <v>0</v>
      </c>
      <c r="S94" s="6">
        <f t="shared" si="38"/>
        <v>0.1056</v>
      </c>
      <c r="T94" s="83">
        <f t="shared" si="39"/>
        <v>-7.0260458459462105E-3</v>
      </c>
      <c r="W94" s="80"/>
      <c r="X94" s="81">
        <f t="shared" si="29"/>
        <v>0.10156284592532473</v>
      </c>
      <c r="Y94">
        <f t="shared" si="40"/>
        <v>0.54044816422083297</v>
      </c>
      <c r="Z94" s="81">
        <f t="shared" ref="Z94:Z157" si="41">0.5+D81/(SQRT(2*PI()))</f>
        <v>40.394228040143275</v>
      </c>
    </row>
    <row r="95" spans="1:26" x14ac:dyDescent="0.35">
      <c r="A95" s="36">
        <v>0.15</v>
      </c>
      <c r="B95" s="8">
        <v>5.0000000000000001E-3</v>
      </c>
      <c r="C95" s="5">
        <f t="shared" si="21"/>
        <v>0.5</v>
      </c>
      <c r="D95" s="2">
        <v>100</v>
      </c>
      <c r="E95" s="5">
        <f t="shared" si="22"/>
        <v>100.5</v>
      </c>
      <c r="F95" s="5">
        <f t="shared" si="23"/>
        <v>0.5</v>
      </c>
      <c r="G95" s="8">
        <f t="shared" si="24"/>
        <v>5.9841342060214901E-2</v>
      </c>
      <c r="H95" s="5">
        <f t="shared" si="25"/>
        <v>5.9841342060214897</v>
      </c>
      <c r="I95" s="80">
        <f t="shared" si="30"/>
        <v>5.7467817477516832</v>
      </c>
      <c r="J95" s="80">
        <f t="shared" si="27"/>
        <v>0.96033637446984854</v>
      </c>
      <c r="K95" s="2">
        <f t="shared" si="31"/>
        <v>0.12354322212154989</v>
      </c>
      <c r="L95" s="5">
        <f t="shared" si="32"/>
        <v>0.15</v>
      </c>
      <c r="M95" s="80">
        <f t="shared" si="28"/>
        <v>-2.6456777878450105E-2</v>
      </c>
      <c r="N95" s="80">
        <f t="shared" si="33"/>
        <v>3.3250276740259786E-2</v>
      </c>
      <c r="O95" s="6">
        <f t="shared" si="34"/>
        <v>0</v>
      </c>
      <c r="P95" s="6">
        <f t="shared" si="35"/>
        <v>0</v>
      </c>
      <c r="Q95" s="6">
        <f t="shared" si="36"/>
        <v>0</v>
      </c>
      <c r="R95" s="6">
        <f t="shared" si="37"/>
        <v>0</v>
      </c>
      <c r="S95" s="6">
        <f t="shared" si="38"/>
        <v>0.1275</v>
      </c>
      <c r="T95" s="83">
        <f t="shared" si="39"/>
        <v>-3.9567778784501129E-3</v>
      </c>
      <c r="W95" s="80"/>
      <c r="X95" s="81">
        <f t="shared" si="29"/>
        <v>0.10825027674025978</v>
      </c>
      <c r="Y95">
        <f t="shared" si="40"/>
        <v>0.54310141791859556</v>
      </c>
      <c r="Z95" s="81">
        <f t="shared" si="41"/>
        <v>40.394228040143275</v>
      </c>
    </row>
    <row r="96" spans="1:26" x14ac:dyDescent="0.35">
      <c r="A96" s="36">
        <v>0.2</v>
      </c>
      <c r="B96" s="8">
        <v>5.0000000000000001E-3</v>
      </c>
      <c r="C96" s="5">
        <f t="shared" si="21"/>
        <v>0.5</v>
      </c>
      <c r="D96" s="2">
        <v>100</v>
      </c>
      <c r="E96" s="5">
        <f t="shared" si="22"/>
        <v>100.5</v>
      </c>
      <c r="F96" s="5">
        <f t="shared" si="23"/>
        <v>0.5</v>
      </c>
      <c r="G96" s="8">
        <f t="shared" si="24"/>
        <v>7.9788456080286549E-2</v>
      </c>
      <c r="H96" s="5">
        <f t="shared" si="25"/>
        <v>7.9788456080286547</v>
      </c>
      <c r="I96" s="80">
        <f t="shared" si="30"/>
        <v>7.7379560161526157</v>
      </c>
      <c r="J96" s="80">
        <f t="shared" si="27"/>
        <v>0.96980896689695995</v>
      </c>
      <c r="K96" s="2">
        <f t="shared" si="31"/>
        <v>0.16309931376747733</v>
      </c>
      <c r="L96" s="5">
        <f t="shared" si="32"/>
        <v>0.2</v>
      </c>
      <c r="M96" s="80">
        <f t="shared" si="28"/>
        <v>-3.6900686232522684E-2</v>
      </c>
      <c r="N96" s="80">
        <f t="shared" si="33"/>
        <v>2.4937707555194838E-2</v>
      </c>
      <c r="O96" s="6">
        <f t="shared" si="34"/>
        <v>0</v>
      </c>
      <c r="P96" s="6">
        <f t="shared" si="35"/>
        <v>0</v>
      </c>
      <c r="Q96" s="6">
        <f t="shared" si="36"/>
        <v>0</v>
      </c>
      <c r="R96" s="6">
        <f t="shared" si="37"/>
        <v>0</v>
      </c>
      <c r="S96" s="6">
        <f t="shared" si="38"/>
        <v>0.16</v>
      </c>
      <c r="T96" s="83">
        <f t="shared" si="39"/>
        <v>3.0993137674773241E-3</v>
      </c>
      <c r="W96" s="80"/>
      <c r="X96" s="81">
        <f t="shared" si="29"/>
        <v>0.12493770755519484</v>
      </c>
      <c r="Y96">
        <f t="shared" si="40"/>
        <v>0.54971356703686358</v>
      </c>
      <c r="Z96" s="81">
        <f t="shared" si="41"/>
        <v>40.394228040143275</v>
      </c>
    </row>
    <row r="97" spans="1:26" x14ac:dyDescent="0.35">
      <c r="A97" s="36">
        <v>0.25</v>
      </c>
      <c r="B97" s="8">
        <v>5.0000000000000001E-3</v>
      </c>
      <c r="C97" s="5">
        <f t="shared" si="21"/>
        <v>0.5</v>
      </c>
      <c r="D97" s="2">
        <v>100</v>
      </c>
      <c r="E97" s="5">
        <f t="shared" si="22"/>
        <v>100.5</v>
      </c>
      <c r="F97" s="5">
        <f t="shared" si="23"/>
        <v>0.5</v>
      </c>
      <c r="G97" s="8">
        <f t="shared" si="24"/>
        <v>9.9735570100358176E-2</v>
      </c>
      <c r="H97" s="5">
        <f t="shared" si="25"/>
        <v>9.9735570100358171</v>
      </c>
      <c r="I97" s="80">
        <f t="shared" si="30"/>
        <v>9.7244882688314007</v>
      </c>
      <c r="J97" s="80">
        <f t="shared" si="27"/>
        <v>0.97502709003881038</v>
      </c>
      <c r="K97" s="2">
        <f t="shared" si="31"/>
        <v>0.19770641800613961</v>
      </c>
      <c r="L97" s="5">
        <f t="shared" si="32"/>
        <v>0.25</v>
      </c>
      <c r="M97" s="80">
        <f t="shared" si="28"/>
        <v>-5.2293581993860389E-2</v>
      </c>
      <c r="N97" s="80">
        <f t="shared" si="33"/>
        <v>1.9950166044155872E-2</v>
      </c>
      <c r="O97" s="6">
        <f t="shared" si="34"/>
        <v>0</v>
      </c>
      <c r="P97" s="6">
        <f t="shared" si="35"/>
        <v>0</v>
      </c>
      <c r="Q97" s="6">
        <f t="shared" si="36"/>
        <v>0</v>
      </c>
      <c r="R97" s="6">
        <f t="shared" si="37"/>
        <v>0</v>
      </c>
      <c r="S97" s="6">
        <f t="shared" si="38"/>
        <v>0.1875</v>
      </c>
      <c r="T97" s="83">
        <f t="shared" si="39"/>
        <v>1.0206418006139611E-2</v>
      </c>
      <c r="W97" s="80"/>
      <c r="X97" s="81">
        <f t="shared" si="29"/>
        <v>0.14495016604415586</v>
      </c>
      <c r="Y97">
        <f t="shared" si="40"/>
        <v>0.55762489106483004</v>
      </c>
      <c r="Z97" s="81">
        <f t="shared" si="41"/>
        <v>40.394228040143275</v>
      </c>
    </row>
    <row r="98" spans="1:26" x14ac:dyDescent="0.35">
      <c r="A98" s="36">
        <v>0.3</v>
      </c>
      <c r="B98" s="8">
        <v>5.0000000000000001E-3</v>
      </c>
      <c r="C98" s="5">
        <f t="shared" ref="C98:C158" si="42">D98*B98</f>
        <v>0.5</v>
      </c>
      <c r="D98" s="2">
        <v>100</v>
      </c>
      <c r="E98" s="5">
        <f t="shared" ref="E98:E158" si="43">D98+C98</f>
        <v>100.5</v>
      </c>
      <c r="F98" s="5">
        <f t="shared" ref="F98:F158" si="44">E98-D98</f>
        <v>0.5</v>
      </c>
      <c r="G98" s="8">
        <f t="shared" ref="G98:G158" si="45">1/SQRT(2*PI())*A98</f>
        <v>0.1196826841204298</v>
      </c>
      <c r="H98" s="5">
        <f t="shared" ref="H98:H158" si="46">G98*D98</f>
        <v>11.968268412042979</v>
      </c>
      <c r="I98" s="80">
        <f t="shared" si="30"/>
        <v>11.704986849986064</v>
      </c>
      <c r="J98" s="80">
        <f t="shared" si="27"/>
        <v>0.97800169974530393</v>
      </c>
      <c r="K98" s="2">
        <f t="shared" si="31"/>
        <v>0.22478101977866116</v>
      </c>
      <c r="L98" s="5">
        <f t="shared" si="32"/>
        <v>0.3</v>
      </c>
      <c r="M98" s="80">
        <f t="shared" si="28"/>
        <v>-7.5218980221338827E-2</v>
      </c>
      <c r="N98" s="80">
        <f t="shared" si="33"/>
        <v>1.6625138370129893E-2</v>
      </c>
      <c r="O98" s="6">
        <f t="shared" si="34"/>
        <v>0</v>
      </c>
      <c r="P98" s="6">
        <f t="shared" si="35"/>
        <v>0</v>
      </c>
      <c r="Q98" s="6">
        <f t="shared" si="36"/>
        <v>0</v>
      </c>
      <c r="R98" s="6">
        <f t="shared" si="37"/>
        <v>0</v>
      </c>
      <c r="S98" s="6">
        <f t="shared" si="38"/>
        <v>0.21</v>
      </c>
      <c r="T98" s="83">
        <f t="shared" si="39"/>
        <v>1.478101977866117E-2</v>
      </c>
      <c r="W98" s="80"/>
      <c r="X98" s="81">
        <f t="shared" si="29"/>
        <v>0.16662513837012988</v>
      </c>
      <c r="Y98">
        <f t="shared" si="40"/>
        <v>0.56616749367316477</v>
      </c>
      <c r="Z98" s="81">
        <f t="shared" si="41"/>
        <v>40.394228040143275</v>
      </c>
    </row>
    <row r="99" spans="1:26" x14ac:dyDescent="0.35">
      <c r="A99" s="36">
        <v>0.35</v>
      </c>
      <c r="B99" s="8">
        <v>5.0000000000000001E-3</v>
      </c>
      <c r="C99" s="5">
        <f t="shared" si="42"/>
        <v>0.5</v>
      </c>
      <c r="D99" s="2">
        <v>100</v>
      </c>
      <c r="E99" s="5">
        <f t="shared" si="43"/>
        <v>100.5</v>
      </c>
      <c r="F99" s="5">
        <f t="shared" si="44"/>
        <v>0.5</v>
      </c>
      <c r="G99" s="8">
        <f t="shared" si="45"/>
        <v>0.13962979814050144</v>
      </c>
      <c r="H99" s="5">
        <f t="shared" si="46"/>
        <v>13.962979814050144</v>
      </c>
      <c r="I99" s="80">
        <f t="shared" si="30"/>
        <v>13.678166355411513</v>
      </c>
      <c r="J99" s="80">
        <f t="shared" si="27"/>
        <v>0.97960224375945604</v>
      </c>
      <c r="K99" s="2">
        <f t="shared" si="31"/>
        <v>0.24261641319302565</v>
      </c>
      <c r="L99" s="5">
        <f t="shared" si="32"/>
        <v>0.35</v>
      </c>
      <c r="M99" s="80">
        <f t="shared" si="28"/>
        <v>-0.10738358680697432</v>
      </c>
      <c r="N99" s="80">
        <f t="shared" si="33"/>
        <v>1.4250118602968482E-2</v>
      </c>
      <c r="O99" s="6">
        <f t="shared" si="34"/>
        <v>0</v>
      </c>
      <c r="P99" s="6">
        <f t="shared" si="35"/>
        <v>0</v>
      </c>
      <c r="Q99" s="6">
        <f t="shared" si="36"/>
        <v>0</v>
      </c>
      <c r="R99" s="6">
        <f t="shared" si="37"/>
        <v>0</v>
      </c>
      <c r="S99" s="6">
        <f t="shared" si="38"/>
        <v>0.22749999999999998</v>
      </c>
      <c r="T99" s="83">
        <f t="shared" si="39"/>
        <v>1.5116413193025674E-2</v>
      </c>
      <c r="W99" s="80"/>
      <c r="X99" s="81">
        <f t="shared" si="29"/>
        <v>0.18925011860296848</v>
      </c>
      <c r="Y99">
        <f t="shared" si="40"/>
        <v>0.57505160582179449</v>
      </c>
      <c r="Z99" s="81">
        <f t="shared" si="41"/>
        <v>40.394228040143275</v>
      </c>
    </row>
    <row r="100" spans="1:26" x14ac:dyDescent="0.35">
      <c r="A100" s="36">
        <v>0.4</v>
      </c>
      <c r="B100" s="8">
        <v>5.0000000000000001E-3</v>
      </c>
      <c r="C100" s="5">
        <f t="shared" si="42"/>
        <v>0.5</v>
      </c>
      <c r="D100" s="2">
        <v>100</v>
      </c>
      <c r="E100" s="5">
        <f t="shared" si="43"/>
        <v>100.5</v>
      </c>
      <c r="F100" s="5">
        <f t="shared" si="44"/>
        <v>0.5</v>
      </c>
      <c r="G100" s="8">
        <f t="shared" si="45"/>
        <v>0.1595769121605731</v>
      </c>
      <c r="H100" s="5">
        <f t="shared" si="46"/>
        <v>15.957691216057309</v>
      </c>
      <c r="I100" s="80">
        <f t="shared" si="30"/>
        <v>15.642790689658774</v>
      </c>
      <c r="J100" s="80">
        <f t="shared" si="27"/>
        <v>0.98026653592083113</v>
      </c>
      <c r="K100" s="2">
        <f t="shared" si="31"/>
        <v>0.25086839516516712</v>
      </c>
      <c r="L100" s="5">
        <f t="shared" si="32"/>
        <v>0.4</v>
      </c>
      <c r="M100" s="80">
        <f t="shared" si="28"/>
        <v>-0.1491316048348329</v>
      </c>
      <c r="N100" s="80">
        <f t="shared" si="33"/>
        <v>1.2468853777597419E-2</v>
      </c>
      <c r="O100" s="6">
        <f t="shared" si="34"/>
        <v>0</v>
      </c>
      <c r="P100" s="6">
        <f t="shared" si="35"/>
        <v>0</v>
      </c>
      <c r="Q100" s="6">
        <f t="shared" si="36"/>
        <v>0</v>
      </c>
      <c r="R100" s="6">
        <f t="shared" si="37"/>
        <v>0</v>
      </c>
      <c r="S100" s="6">
        <f t="shared" si="38"/>
        <v>0.24</v>
      </c>
      <c r="T100" s="83">
        <f t="shared" si="39"/>
        <v>1.0868395165167133E-2</v>
      </c>
      <c r="W100" s="80"/>
      <c r="X100" s="81">
        <f t="shared" si="29"/>
        <v>0.21246885377759744</v>
      </c>
      <c r="Y100">
        <f t="shared" si="40"/>
        <v>0.58412936292601547</v>
      </c>
      <c r="Z100" s="81">
        <f t="shared" si="41"/>
        <v>40.394228040143275</v>
      </c>
    </row>
    <row r="101" spans="1:26" x14ac:dyDescent="0.35">
      <c r="A101" s="36">
        <v>0.5</v>
      </c>
      <c r="B101" s="8">
        <v>5.0000000000000001E-3</v>
      </c>
      <c r="C101" s="5">
        <f t="shared" si="42"/>
        <v>0.5</v>
      </c>
      <c r="D101" s="2">
        <v>100</v>
      </c>
      <c r="E101" s="5">
        <f t="shared" si="43"/>
        <v>100.5</v>
      </c>
      <c r="F101" s="5">
        <f t="shared" si="44"/>
        <v>0.5</v>
      </c>
      <c r="G101" s="8">
        <f t="shared" si="45"/>
        <v>0.19947114020071635</v>
      </c>
      <c r="H101" s="5">
        <f t="shared" si="46"/>
        <v>19.947114020071634</v>
      </c>
      <c r="I101" s="80">
        <f t="shared" si="30"/>
        <v>19.541582552572834</v>
      </c>
      <c r="J101" s="80">
        <f t="shared" si="27"/>
        <v>0.97966966714629811</v>
      </c>
      <c r="K101" s="2">
        <f t="shared" si="31"/>
        <v>0.24342937286395119</v>
      </c>
      <c r="L101" s="5">
        <f t="shared" si="32"/>
        <v>0.5</v>
      </c>
      <c r="M101" s="80">
        <f t="shared" si="28"/>
        <v>-0.25657062713604883</v>
      </c>
      <c r="N101" s="80">
        <f t="shared" si="33"/>
        <v>9.9750830220779359E-3</v>
      </c>
      <c r="O101" s="6">
        <f t="shared" si="34"/>
        <v>0</v>
      </c>
      <c r="P101" s="6">
        <f t="shared" si="35"/>
        <v>0</v>
      </c>
      <c r="Q101" s="6">
        <f t="shared" si="36"/>
        <v>0</v>
      </c>
      <c r="R101" s="6">
        <f t="shared" si="37"/>
        <v>0</v>
      </c>
      <c r="S101" s="6">
        <f t="shared" si="38"/>
        <v>0.25</v>
      </c>
      <c r="T101" s="83">
        <f t="shared" si="39"/>
        <v>-6.5706271360488067E-3</v>
      </c>
      <c r="W101" s="80"/>
      <c r="X101" s="81">
        <f t="shared" si="29"/>
        <v>0.25997508302207795</v>
      </c>
      <c r="Y101">
        <f t="shared" si="40"/>
        <v>0.60255850310663739</v>
      </c>
      <c r="Z101" s="81">
        <f t="shared" si="41"/>
        <v>40.394228040143275</v>
      </c>
    </row>
    <row r="102" spans="1:26" x14ac:dyDescent="0.35">
      <c r="A102" s="36">
        <v>0.6</v>
      </c>
      <c r="B102" s="8">
        <v>5.0000000000000001E-3</v>
      </c>
      <c r="C102" s="5">
        <f t="shared" si="42"/>
        <v>0.5</v>
      </c>
      <c r="D102" s="2">
        <v>100</v>
      </c>
      <c r="E102" s="5">
        <f t="shared" si="43"/>
        <v>100.5</v>
      </c>
      <c r="F102" s="5">
        <f t="shared" si="44"/>
        <v>0.5</v>
      </c>
      <c r="G102" s="8">
        <f t="shared" si="45"/>
        <v>0.23936536824085961</v>
      </c>
      <c r="H102" s="5">
        <f t="shared" si="46"/>
        <v>23.936536824085959</v>
      </c>
      <c r="I102" s="80">
        <f t="shared" si="30"/>
        <v>23.392032722061032</v>
      </c>
      <c r="J102" s="80">
        <f t="shared" si="27"/>
        <v>0.97725217703686262</v>
      </c>
      <c r="K102" s="2">
        <f t="shared" si="31"/>
        <v>0.21729166578240613</v>
      </c>
      <c r="L102" s="5">
        <f t="shared" si="32"/>
        <v>0.6</v>
      </c>
      <c r="M102" s="80">
        <f t="shared" si="28"/>
        <v>-0.38270833421759387</v>
      </c>
      <c r="N102" s="80">
        <f t="shared" si="33"/>
        <v>8.3125691850649466E-3</v>
      </c>
      <c r="O102" s="6">
        <f t="shared" si="34"/>
        <v>0</v>
      </c>
      <c r="P102" s="6">
        <f t="shared" si="35"/>
        <v>0</v>
      </c>
      <c r="Q102" s="6">
        <f t="shared" si="36"/>
        <v>0</v>
      </c>
      <c r="R102" s="6">
        <f t="shared" si="37"/>
        <v>0</v>
      </c>
      <c r="S102" s="6">
        <f t="shared" si="38"/>
        <v>0.24</v>
      </c>
      <c r="T102" s="83">
        <f t="shared" si="39"/>
        <v>-2.2708334217593856E-2</v>
      </c>
      <c r="W102" s="80"/>
      <c r="X102" s="81">
        <f t="shared" si="29"/>
        <v>0.30831256918506494</v>
      </c>
      <c r="Y102">
        <f t="shared" si="40"/>
        <v>0.62107774861660081</v>
      </c>
      <c r="Z102" s="81">
        <f t="shared" si="41"/>
        <v>40.394228040143275</v>
      </c>
    </row>
    <row r="103" spans="1:26" hidden="1" x14ac:dyDescent="0.35">
      <c r="A103" s="36">
        <v>0.01</v>
      </c>
      <c r="B103" s="8">
        <v>6.0000000000000001E-3</v>
      </c>
      <c r="C103" s="5">
        <f t="shared" si="42"/>
        <v>0.6</v>
      </c>
      <c r="D103" s="2">
        <v>100</v>
      </c>
      <c r="E103" s="5">
        <f t="shared" si="43"/>
        <v>100.6</v>
      </c>
      <c r="F103" s="5">
        <f t="shared" si="44"/>
        <v>0.59999999999999432</v>
      </c>
      <c r="G103" s="8">
        <f t="shared" si="45"/>
        <v>3.9894228040143268E-3</v>
      </c>
      <c r="H103" s="5">
        <f t="shared" si="46"/>
        <v>0.39894228040143265</v>
      </c>
      <c r="I103" s="80">
        <f t="shared" si="30"/>
        <v>0.16967055260808195</v>
      </c>
      <c r="J103" s="80">
        <f t="shared" si="27"/>
        <v>0.42530100453968489</v>
      </c>
      <c r="K103" s="2">
        <f t="shared" si="31"/>
        <v>7.0178876559530926E-3</v>
      </c>
      <c r="L103" s="5">
        <f t="shared" si="32"/>
        <v>0.01</v>
      </c>
      <c r="M103" s="80">
        <f t="shared" si="28"/>
        <v>-2.9821123440469076E-3</v>
      </c>
      <c r="N103" s="80">
        <f t="shared" si="33"/>
        <v>0.59820716775474692</v>
      </c>
      <c r="O103" s="6">
        <f t="shared" si="34"/>
        <v>0</v>
      </c>
      <c r="P103" s="6">
        <f t="shared" si="35"/>
        <v>0</v>
      </c>
      <c r="Q103" s="6">
        <f t="shared" si="36"/>
        <v>0</v>
      </c>
      <c r="R103" s="6">
        <f t="shared" si="37"/>
        <v>0</v>
      </c>
      <c r="S103" s="6">
        <f t="shared" si="38"/>
        <v>9.9090909090909091E-3</v>
      </c>
      <c r="T103" s="83">
        <f t="shared" si="39"/>
        <v>-2.8912032531378164E-3</v>
      </c>
      <c r="W103" s="80"/>
      <c r="X103" s="81">
        <f t="shared" si="29"/>
        <v>0.60320716775474692</v>
      </c>
      <c r="Y103">
        <f t="shared" si="40"/>
        <v>0.72681456002420597</v>
      </c>
      <c r="Z103" s="81">
        <f t="shared" si="41"/>
        <v>40.394228040143275</v>
      </c>
    </row>
    <row r="104" spans="1:26" hidden="1" x14ac:dyDescent="0.35">
      <c r="A104" s="36">
        <v>0.02</v>
      </c>
      <c r="B104" s="8">
        <v>6.0000000000000001E-3</v>
      </c>
      <c r="C104" s="5">
        <f t="shared" si="42"/>
        <v>0.6</v>
      </c>
      <c r="D104" s="2">
        <v>100</v>
      </c>
      <c r="E104" s="5">
        <f t="shared" si="43"/>
        <v>100.6</v>
      </c>
      <c r="F104" s="5">
        <f t="shared" si="44"/>
        <v>0.59999999999999432</v>
      </c>
      <c r="G104" s="8">
        <f t="shared" si="45"/>
        <v>7.9788456080286535E-3</v>
      </c>
      <c r="H104" s="5">
        <f t="shared" si="46"/>
        <v>0.79788456080286529</v>
      </c>
      <c r="I104" s="80">
        <f t="shared" si="30"/>
        <v>0.53579608280631419</v>
      </c>
      <c r="J104" s="80">
        <f t="shared" si="27"/>
        <v>0.67152080529942004</v>
      </c>
      <c r="K104" s="2">
        <f t="shared" si="31"/>
        <v>1.5067416133271533E-2</v>
      </c>
      <c r="L104" s="5">
        <f t="shared" si="32"/>
        <v>0.02</v>
      </c>
      <c r="M104" s="80">
        <f t="shared" si="28"/>
        <v>-4.9325838667284676E-3</v>
      </c>
      <c r="N104" s="80">
        <f t="shared" si="33"/>
        <v>0.29910358387737346</v>
      </c>
      <c r="O104" s="6">
        <f t="shared" si="34"/>
        <v>0</v>
      </c>
      <c r="P104" s="6">
        <f t="shared" si="35"/>
        <v>0</v>
      </c>
      <c r="Q104" s="6">
        <f t="shared" si="36"/>
        <v>0</v>
      </c>
      <c r="R104" s="6">
        <f t="shared" si="37"/>
        <v>0</v>
      </c>
      <c r="S104" s="6">
        <f t="shared" si="38"/>
        <v>1.9636363636363636E-2</v>
      </c>
      <c r="T104" s="83">
        <f t="shared" si="39"/>
        <v>-4.568947503092103E-3</v>
      </c>
      <c r="W104" s="80"/>
      <c r="X104" s="81">
        <f t="shared" si="29"/>
        <v>0.30910358387737347</v>
      </c>
      <c r="Y104">
        <f t="shared" si="40"/>
        <v>0.62137863347065614</v>
      </c>
      <c r="Z104" s="81">
        <f t="shared" si="41"/>
        <v>40.394228040143275</v>
      </c>
    </row>
    <row r="105" spans="1:26" hidden="1" x14ac:dyDescent="0.35">
      <c r="A105" s="36">
        <v>0.05</v>
      </c>
      <c r="B105" s="8">
        <v>6.0000000000000001E-3</v>
      </c>
      <c r="C105" s="5">
        <f t="shared" si="42"/>
        <v>0.6</v>
      </c>
      <c r="D105" s="2">
        <v>100</v>
      </c>
      <c r="E105" s="5">
        <f t="shared" si="43"/>
        <v>100.6</v>
      </c>
      <c r="F105" s="5">
        <f t="shared" si="44"/>
        <v>0.59999999999999432</v>
      </c>
      <c r="G105" s="8">
        <f t="shared" si="45"/>
        <v>1.9947114020071637E-2</v>
      </c>
      <c r="H105" s="5">
        <f t="shared" si="46"/>
        <v>1.9947114020071637</v>
      </c>
      <c r="I105" s="80">
        <f t="shared" si="30"/>
        <v>1.7147846226919512</v>
      </c>
      <c r="J105" s="80">
        <f t="shared" si="27"/>
        <v>0.85966552402841923</v>
      </c>
      <c r="K105" s="2">
        <f t="shared" si="31"/>
        <v>3.9679419144459098E-2</v>
      </c>
      <c r="L105" s="5">
        <f t="shared" si="32"/>
        <v>0.05</v>
      </c>
      <c r="M105" s="80">
        <f t="shared" si="28"/>
        <v>-1.0320580855540905E-2</v>
      </c>
      <c r="N105" s="80">
        <f t="shared" si="33"/>
        <v>0.11964143355094937</v>
      </c>
      <c r="O105" s="6">
        <f t="shared" si="34"/>
        <v>0</v>
      </c>
      <c r="P105" s="6">
        <f t="shared" si="35"/>
        <v>0</v>
      </c>
      <c r="Q105" s="6">
        <f t="shared" si="36"/>
        <v>0</v>
      </c>
      <c r="R105" s="6">
        <f t="shared" si="37"/>
        <v>0</v>
      </c>
      <c r="S105" s="6">
        <f t="shared" si="38"/>
        <v>4.7727272727272729E-2</v>
      </c>
      <c r="T105" s="83">
        <f t="shared" si="39"/>
        <v>-8.0478535828136313E-3</v>
      </c>
      <c r="W105" s="80"/>
      <c r="X105" s="81">
        <f t="shared" si="29"/>
        <v>0.14464143355094938</v>
      </c>
      <c r="Y105">
        <f t="shared" si="40"/>
        <v>0.55750300901952765</v>
      </c>
      <c r="Z105" s="81">
        <f t="shared" si="41"/>
        <v>40.394228040143275</v>
      </c>
    </row>
    <row r="106" spans="1:26" hidden="1" x14ac:dyDescent="0.35">
      <c r="A106" s="36">
        <v>0.08</v>
      </c>
      <c r="B106" s="8">
        <v>6.0000000000000001E-3</v>
      </c>
      <c r="C106" s="5">
        <f t="shared" si="42"/>
        <v>0.6</v>
      </c>
      <c r="D106" s="2">
        <v>100</v>
      </c>
      <c r="E106" s="5">
        <f t="shared" si="43"/>
        <v>100.6</v>
      </c>
      <c r="F106" s="5">
        <f t="shared" si="44"/>
        <v>0.59999999999999432</v>
      </c>
      <c r="G106" s="8">
        <f t="shared" si="45"/>
        <v>3.1915382432114614E-2</v>
      </c>
      <c r="H106" s="5">
        <f t="shared" si="46"/>
        <v>3.1915382432114612</v>
      </c>
      <c r="I106" s="80">
        <f t="shared" si="30"/>
        <v>2.9091974849862297</v>
      </c>
      <c r="J106" s="80">
        <f t="shared" si="27"/>
        <v>0.91153458404398491</v>
      </c>
      <c r="K106" s="2">
        <f t="shared" si="31"/>
        <v>6.4776807845919493E-2</v>
      </c>
      <c r="L106" s="5">
        <f t="shared" si="32"/>
        <v>0.08</v>
      </c>
      <c r="M106" s="80">
        <f t="shared" si="28"/>
        <v>-1.5223192154080509E-2</v>
      </c>
      <c r="N106" s="80">
        <f t="shared" si="33"/>
        <v>7.4775895969343364E-2</v>
      </c>
      <c r="O106" s="6">
        <f t="shared" si="34"/>
        <v>0</v>
      </c>
      <c r="P106" s="6">
        <f t="shared" si="35"/>
        <v>0</v>
      </c>
      <c r="Q106" s="6">
        <f t="shared" si="36"/>
        <v>0</v>
      </c>
      <c r="R106" s="6">
        <f t="shared" si="37"/>
        <v>0</v>
      </c>
      <c r="S106" s="6">
        <f t="shared" si="38"/>
        <v>7.4181818181818182E-2</v>
      </c>
      <c r="T106" s="83">
        <f t="shared" si="39"/>
        <v>-9.4050103358986892E-3</v>
      </c>
      <c r="W106" s="80"/>
      <c r="X106" s="81">
        <f t="shared" si="29"/>
        <v>0.11477589596934337</v>
      </c>
      <c r="Y106">
        <f t="shared" si="40"/>
        <v>0.54568862249845962</v>
      </c>
      <c r="Z106" s="81">
        <f t="shared" si="41"/>
        <v>40.394228040143275</v>
      </c>
    </row>
    <row r="107" spans="1:26" hidden="1" x14ac:dyDescent="0.35">
      <c r="A107" s="36">
        <v>0.1</v>
      </c>
      <c r="B107" s="8">
        <v>6.0000000000000001E-3</v>
      </c>
      <c r="C107" s="5">
        <f t="shared" si="42"/>
        <v>0.6</v>
      </c>
      <c r="D107" s="2">
        <v>100</v>
      </c>
      <c r="E107" s="5">
        <f t="shared" si="43"/>
        <v>100.6</v>
      </c>
      <c r="F107" s="5">
        <f t="shared" si="44"/>
        <v>0.59999999999999432</v>
      </c>
      <c r="G107" s="8">
        <f t="shared" si="45"/>
        <v>3.9894228040143274E-2</v>
      </c>
      <c r="H107" s="5">
        <f t="shared" si="46"/>
        <v>3.9894228040143274</v>
      </c>
      <c r="I107" s="80">
        <f t="shared" si="30"/>
        <v>3.7068728744053345</v>
      </c>
      <c r="J107" s="80">
        <f t="shared" si="27"/>
        <v>0.92917523574470995</v>
      </c>
      <c r="K107" s="2">
        <f t="shared" si="31"/>
        <v>8.1679405243443151E-2</v>
      </c>
      <c r="L107" s="5">
        <f t="shared" si="32"/>
        <v>0.1</v>
      </c>
      <c r="M107" s="80">
        <f t="shared" si="28"/>
        <v>-1.8320594756556854E-2</v>
      </c>
      <c r="N107" s="80">
        <f t="shared" si="33"/>
        <v>5.9820716775474687E-2</v>
      </c>
      <c r="O107" s="6">
        <f t="shared" si="34"/>
        <v>0</v>
      </c>
      <c r="P107" s="6">
        <f t="shared" si="35"/>
        <v>0</v>
      </c>
      <c r="Q107" s="6">
        <f t="shared" si="36"/>
        <v>0</v>
      </c>
      <c r="R107" s="6">
        <f t="shared" si="37"/>
        <v>0</v>
      </c>
      <c r="S107" s="6">
        <f t="shared" si="38"/>
        <v>9.0909090909090912E-2</v>
      </c>
      <c r="T107" s="83">
        <f t="shared" si="39"/>
        <v>-9.2296856656477605E-3</v>
      </c>
      <c r="W107" s="80"/>
      <c r="X107" s="81">
        <f t="shared" si="29"/>
        <v>0.1098207167754747</v>
      </c>
      <c r="Y107">
        <f t="shared" si="40"/>
        <v>0.54372421959504957</v>
      </c>
      <c r="Z107" s="81">
        <f t="shared" si="41"/>
        <v>40.394228040143275</v>
      </c>
    </row>
    <row r="108" spans="1:26" hidden="1" x14ac:dyDescent="0.35">
      <c r="A108" s="36">
        <v>0.12</v>
      </c>
      <c r="B108" s="8">
        <v>6.0000000000000001E-3</v>
      </c>
      <c r="C108" s="5">
        <f t="shared" si="42"/>
        <v>0.6</v>
      </c>
      <c r="D108" s="2">
        <v>100</v>
      </c>
      <c r="E108" s="5">
        <f t="shared" si="43"/>
        <v>100.6</v>
      </c>
      <c r="F108" s="5">
        <f t="shared" si="44"/>
        <v>0.59999999999999432</v>
      </c>
      <c r="G108" s="8">
        <f t="shared" si="45"/>
        <v>4.7873073648171921E-2</v>
      </c>
      <c r="H108" s="5">
        <f t="shared" si="46"/>
        <v>4.7873073648171918</v>
      </c>
      <c r="I108" s="80">
        <f t="shared" si="30"/>
        <v>4.5047441266463508</v>
      </c>
      <c r="J108" s="80">
        <f t="shared" si="27"/>
        <v>0.94097658315247301</v>
      </c>
      <c r="K108" s="2">
        <f t="shared" si="31"/>
        <v>9.8624152354641711E-2</v>
      </c>
      <c r="L108" s="5">
        <f t="shared" si="32"/>
        <v>0.12</v>
      </c>
      <c r="M108" s="80">
        <f t="shared" si="28"/>
        <v>-2.1375847645358284E-2</v>
      </c>
      <c r="N108" s="80">
        <f t="shared" si="33"/>
        <v>4.9850597312895574E-2</v>
      </c>
      <c r="O108" s="6">
        <f t="shared" si="34"/>
        <v>0</v>
      </c>
      <c r="P108" s="6">
        <f t="shared" si="35"/>
        <v>0</v>
      </c>
      <c r="Q108" s="6">
        <f t="shared" si="36"/>
        <v>0</v>
      </c>
      <c r="R108" s="6">
        <f t="shared" si="37"/>
        <v>0</v>
      </c>
      <c r="S108" s="6">
        <f t="shared" si="38"/>
        <v>0.1069090909090909</v>
      </c>
      <c r="T108" s="83">
        <f t="shared" si="39"/>
        <v>-8.2849385544491866E-3</v>
      </c>
      <c r="W108" s="80"/>
      <c r="X108" s="81">
        <f t="shared" si="29"/>
        <v>0.10985059731289556</v>
      </c>
      <c r="Y108">
        <f t="shared" si="40"/>
        <v>0.54373606851686085</v>
      </c>
      <c r="Z108" s="81">
        <f t="shared" si="41"/>
        <v>40.394228040143275</v>
      </c>
    </row>
    <row r="109" spans="1:26" hidden="1" x14ac:dyDescent="0.35">
      <c r="A109" s="36">
        <v>0.15</v>
      </c>
      <c r="B109" s="8">
        <v>6.0000000000000001E-3</v>
      </c>
      <c r="C109" s="5">
        <f t="shared" si="42"/>
        <v>0.6</v>
      </c>
      <c r="D109" s="2">
        <v>100</v>
      </c>
      <c r="E109" s="5">
        <f t="shared" si="43"/>
        <v>100.6</v>
      </c>
      <c r="F109" s="5">
        <f t="shared" si="44"/>
        <v>0.59999999999999432</v>
      </c>
      <c r="G109" s="8">
        <f t="shared" si="45"/>
        <v>5.9841342060214901E-2</v>
      </c>
      <c r="H109" s="5">
        <f t="shared" si="46"/>
        <v>5.9841342060214897</v>
      </c>
      <c r="I109" s="80">
        <f t="shared" si="30"/>
        <v>5.7012233601603555</v>
      </c>
      <c r="J109" s="80">
        <f t="shared" si="27"/>
        <v>0.95272317830431386</v>
      </c>
      <c r="K109" s="2">
        <f t="shared" si="31"/>
        <v>0.12388787021375063</v>
      </c>
      <c r="L109" s="5">
        <f t="shared" si="32"/>
        <v>0.15</v>
      </c>
      <c r="M109" s="80">
        <f t="shared" si="28"/>
        <v>-2.6112129786249369E-2</v>
      </c>
      <c r="N109" s="80">
        <f t="shared" si="33"/>
        <v>3.9880477850316461E-2</v>
      </c>
      <c r="O109" s="6">
        <f t="shared" si="34"/>
        <v>0</v>
      </c>
      <c r="P109" s="6">
        <f t="shared" si="35"/>
        <v>0</v>
      </c>
      <c r="Q109" s="6">
        <f t="shared" si="36"/>
        <v>0</v>
      </c>
      <c r="R109" s="6">
        <f t="shared" si="37"/>
        <v>0</v>
      </c>
      <c r="S109" s="6">
        <f t="shared" si="38"/>
        <v>0.12954545454545455</v>
      </c>
      <c r="T109" s="83">
        <f t="shared" si="39"/>
        <v>-5.6575843317039215E-3</v>
      </c>
      <c r="W109" s="80"/>
      <c r="X109" s="81">
        <f t="shared" si="29"/>
        <v>0.11488047785031646</v>
      </c>
      <c r="Y109">
        <f t="shared" si="40"/>
        <v>0.54573007047338984</v>
      </c>
      <c r="Z109" s="81">
        <f t="shared" si="41"/>
        <v>40.394228040143275</v>
      </c>
    </row>
    <row r="110" spans="1:26" hidden="1" x14ac:dyDescent="0.35">
      <c r="A110" s="36">
        <v>0.2</v>
      </c>
      <c r="B110" s="8">
        <v>6.0000000000000001E-3</v>
      </c>
      <c r="C110" s="5">
        <f t="shared" si="42"/>
        <v>0.6</v>
      </c>
      <c r="D110" s="2">
        <v>100</v>
      </c>
      <c r="E110" s="5">
        <f t="shared" si="43"/>
        <v>100.6</v>
      </c>
      <c r="F110" s="5">
        <f t="shared" si="44"/>
        <v>0.59999999999999432</v>
      </c>
      <c r="G110" s="8">
        <f t="shared" si="45"/>
        <v>7.9788456080286549E-2</v>
      </c>
      <c r="H110" s="5">
        <f t="shared" si="46"/>
        <v>7.9788456080286547</v>
      </c>
      <c r="I110" s="80">
        <f t="shared" si="30"/>
        <v>7.6930257874797476</v>
      </c>
      <c r="J110" s="80">
        <f t="shared" si="27"/>
        <v>0.96417779781810753</v>
      </c>
      <c r="K110" s="2">
        <f t="shared" si="31"/>
        <v>0.1644756508512121</v>
      </c>
      <c r="L110" s="5">
        <f t="shared" si="32"/>
        <v>0.2</v>
      </c>
      <c r="M110" s="80">
        <f t="shared" si="28"/>
        <v>-3.5524349148787909E-2</v>
      </c>
      <c r="N110" s="80">
        <f t="shared" si="33"/>
        <v>2.9910358387737344E-2</v>
      </c>
      <c r="O110" s="6">
        <f t="shared" si="34"/>
        <v>0</v>
      </c>
      <c r="P110" s="6">
        <f t="shared" si="35"/>
        <v>0</v>
      </c>
      <c r="Q110" s="6">
        <f t="shared" si="36"/>
        <v>0</v>
      </c>
      <c r="R110" s="6">
        <f t="shared" si="37"/>
        <v>0</v>
      </c>
      <c r="S110" s="6">
        <f t="shared" si="38"/>
        <v>0.16363636363636364</v>
      </c>
      <c r="T110" s="83">
        <f t="shared" si="39"/>
        <v>8.3928721484846647E-4</v>
      </c>
      <c r="W110" s="80"/>
      <c r="X110" s="81">
        <f t="shared" si="29"/>
        <v>0.12991035838773735</v>
      </c>
      <c r="Y110">
        <f t="shared" si="40"/>
        <v>0.55168132553307614</v>
      </c>
      <c r="Z110" s="81">
        <f t="shared" si="41"/>
        <v>40.394228040143275</v>
      </c>
    </row>
    <row r="111" spans="1:26" hidden="1" x14ac:dyDescent="0.35">
      <c r="A111" s="36">
        <v>0.25</v>
      </c>
      <c r="B111" s="8">
        <v>6.0000000000000001E-3</v>
      </c>
      <c r="C111" s="5">
        <f t="shared" si="42"/>
        <v>0.6</v>
      </c>
      <c r="D111" s="2">
        <v>100</v>
      </c>
      <c r="E111" s="5">
        <f t="shared" si="43"/>
        <v>100.6</v>
      </c>
      <c r="F111" s="5">
        <f t="shared" si="44"/>
        <v>0.59999999999999432</v>
      </c>
      <c r="G111" s="8">
        <f t="shared" si="45"/>
        <v>9.9735570100358176E-2</v>
      </c>
      <c r="H111" s="5">
        <f t="shared" si="46"/>
        <v>9.9735570100358171</v>
      </c>
      <c r="I111" s="80">
        <f t="shared" si="30"/>
        <v>9.6803292785304791</v>
      </c>
      <c r="J111" s="80">
        <f t="shared" si="27"/>
        <v>0.97059948309211252</v>
      </c>
      <c r="K111" s="2">
        <f t="shared" si="31"/>
        <v>0.20106312410725546</v>
      </c>
      <c r="L111" s="5">
        <f t="shared" si="32"/>
        <v>0.25</v>
      </c>
      <c r="M111" s="80">
        <f t="shared" si="28"/>
        <v>-4.8936875892744536E-2</v>
      </c>
      <c r="N111" s="80">
        <f t="shared" si="33"/>
        <v>2.3928286710189876E-2</v>
      </c>
      <c r="O111" s="6">
        <f t="shared" si="34"/>
        <v>0</v>
      </c>
      <c r="P111" s="6">
        <f t="shared" si="35"/>
        <v>0</v>
      </c>
      <c r="Q111" s="6">
        <f t="shared" si="36"/>
        <v>0</v>
      </c>
      <c r="R111" s="6">
        <f t="shared" si="37"/>
        <v>0</v>
      </c>
      <c r="S111" s="6">
        <f t="shared" si="38"/>
        <v>0.19318181818181818</v>
      </c>
      <c r="T111" s="83">
        <f t="shared" si="39"/>
        <v>7.8813059254372875E-3</v>
      </c>
      <c r="W111" s="80"/>
      <c r="X111" s="81">
        <f t="shared" si="29"/>
        <v>0.14892828671018987</v>
      </c>
      <c r="Y111">
        <f t="shared" si="40"/>
        <v>0.55919488972635589</v>
      </c>
      <c r="Z111" s="81">
        <f t="shared" si="41"/>
        <v>40.394228040143275</v>
      </c>
    </row>
    <row r="112" spans="1:26" hidden="1" x14ac:dyDescent="0.35">
      <c r="A112" s="36">
        <v>0.3</v>
      </c>
      <c r="B112" s="8">
        <v>6.0000000000000001E-3</v>
      </c>
      <c r="C112" s="5">
        <f t="shared" si="42"/>
        <v>0.6</v>
      </c>
      <c r="D112" s="2">
        <v>100</v>
      </c>
      <c r="E112" s="5">
        <f t="shared" si="43"/>
        <v>100.6</v>
      </c>
      <c r="F112" s="5">
        <f t="shared" si="44"/>
        <v>0.59999999999999432</v>
      </c>
      <c r="G112" s="8">
        <f t="shared" si="45"/>
        <v>0.1196826841204298</v>
      </c>
      <c r="H112" s="5">
        <f t="shared" si="46"/>
        <v>11.968268412042979</v>
      </c>
      <c r="I112" s="80">
        <f t="shared" si="30"/>
        <v>11.661668813156631</v>
      </c>
      <c r="J112" s="80">
        <f t="shared" si="27"/>
        <v>0.97438229254803177</v>
      </c>
      <c r="K112" s="2">
        <f t="shared" si="31"/>
        <v>0.23120001986165126</v>
      </c>
      <c r="L112" s="5">
        <f t="shared" si="32"/>
        <v>0.3</v>
      </c>
      <c r="M112" s="80">
        <f t="shared" si="28"/>
        <v>-6.8799980138348732E-2</v>
      </c>
      <c r="N112" s="80">
        <f t="shared" si="33"/>
        <v>1.994023892515823E-2</v>
      </c>
      <c r="O112" s="6">
        <f t="shared" si="34"/>
        <v>0</v>
      </c>
      <c r="P112" s="6">
        <f t="shared" si="35"/>
        <v>0</v>
      </c>
      <c r="Q112" s="6">
        <f t="shared" si="36"/>
        <v>0</v>
      </c>
      <c r="R112" s="6">
        <f t="shared" si="37"/>
        <v>0</v>
      </c>
      <c r="S112" s="6">
        <f t="shared" si="38"/>
        <v>0.21818181818181817</v>
      </c>
      <c r="T112" s="83">
        <f t="shared" si="39"/>
        <v>1.3018201679833086E-2</v>
      </c>
      <c r="W112" s="80"/>
      <c r="X112" s="81">
        <f t="shared" si="29"/>
        <v>0.16994023892515822</v>
      </c>
      <c r="Y112">
        <f t="shared" si="40"/>
        <v>0.56747143236472086</v>
      </c>
      <c r="Z112" s="81">
        <f t="shared" si="41"/>
        <v>40.394228040143275</v>
      </c>
    </row>
    <row r="113" spans="1:26" hidden="1" x14ac:dyDescent="0.35">
      <c r="A113" s="36">
        <v>0.35</v>
      </c>
      <c r="B113" s="8">
        <v>6.0000000000000001E-3</v>
      </c>
      <c r="C113" s="5">
        <f t="shared" si="42"/>
        <v>0.6</v>
      </c>
      <c r="D113" s="2">
        <v>100</v>
      </c>
      <c r="E113" s="5">
        <f t="shared" si="43"/>
        <v>100.6</v>
      </c>
      <c r="F113" s="5">
        <f t="shared" si="44"/>
        <v>0.59999999999999432</v>
      </c>
      <c r="G113" s="8">
        <f t="shared" si="45"/>
        <v>0.13962979814050144</v>
      </c>
      <c r="H113" s="5">
        <f t="shared" si="46"/>
        <v>13.962979814050144</v>
      </c>
      <c r="I113" s="80">
        <f t="shared" si="30"/>
        <v>13.635727189242267</v>
      </c>
      <c r="J113" s="80">
        <f t="shared" si="27"/>
        <v>0.97656283764883911</v>
      </c>
      <c r="K113" s="2">
        <f t="shared" si="31"/>
        <v>0.25299183009957893</v>
      </c>
      <c r="L113" s="5">
        <f t="shared" si="32"/>
        <v>0.35</v>
      </c>
      <c r="M113" s="80">
        <f t="shared" si="28"/>
        <v>-9.7008169900421048E-2</v>
      </c>
      <c r="N113" s="80">
        <f t="shared" si="33"/>
        <v>1.7091633364421342E-2</v>
      </c>
      <c r="O113" s="6">
        <f t="shared" si="34"/>
        <v>0</v>
      </c>
      <c r="P113" s="6">
        <f t="shared" si="35"/>
        <v>0</v>
      </c>
      <c r="Q113" s="6">
        <f t="shared" si="36"/>
        <v>0</v>
      </c>
      <c r="R113" s="6">
        <f t="shared" si="37"/>
        <v>0</v>
      </c>
      <c r="S113" s="6">
        <f t="shared" si="38"/>
        <v>0.23863636363636365</v>
      </c>
      <c r="T113" s="83">
        <f t="shared" si="39"/>
        <v>1.4355466463215283E-2</v>
      </c>
      <c r="W113" s="80"/>
      <c r="X113" s="81">
        <f t="shared" si="29"/>
        <v>0.19209163336442134</v>
      </c>
      <c r="Y113">
        <f t="shared" si="40"/>
        <v>0.57616478575893826</v>
      </c>
      <c r="Z113" s="81">
        <f t="shared" si="41"/>
        <v>40.394228040143275</v>
      </c>
    </row>
    <row r="114" spans="1:26" hidden="1" x14ac:dyDescent="0.35">
      <c r="A114" s="36">
        <v>0.4</v>
      </c>
      <c r="B114" s="8">
        <v>6.0000000000000001E-3</v>
      </c>
      <c r="C114" s="5">
        <f t="shared" si="42"/>
        <v>0.6</v>
      </c>
      <c r="D114" s="2">
        <v>100</v>
      </c>
      <c r="E114" s="5">
        <f t="shared" si="43"/>
        <v>100.6</v>
      </c>
      <c r="F114" s="5">
        <f t="shared" si="44"/>
        <v>0.59999999999999432</v>
      </c>
      <c r="G114" s="8">
        <f t="shared" si="45"/>
        <v>0.1595769121605731</v>
      </c>
      <c r="H114" s="5">
        <f t="shared" si="46"/>
        <v>15.957691216057309</v>
      </c>
      <c r="I114" s="80">
        <f t="shared" si="30"/>
        <v>15.601252113545783</v>
      </c>
      <c r="J114" s="80">
        <f t="shared" si="27"/>
        <v>0.97766349168651279</v>
      </c>
      <c r="K114" s="2">
        <f t="shared" si="31"/>
        <v>0.2656072339469534</v>
      </c>
      <c r="L114" s="5">
        <f t="shared" si="32"/>
        <v>0.4</v>
      </c>
      <c r="M114" s="80">
        <f t="shared" si="28"/>
        <v>-0.13439276605304662</v>
      </c>
      <c r="N114" s="80">
        <f t="shared" si="33"/>
        <v>1.4955179193868672E-2</v>
      </c>
      <c r="O114" s="6">
        <f t="shared" si="34"/>
        <v>0</v>
      </c>
      <c r="P114" s="6">
        <f t="shared" si="35"/>
        <v>0</v>
      </c>
      <c r="Q114" s="6">
        <f t="shared" si="36"/>
        <v>0</v>
      </c>
      <c r="R114" s="6">
        <f t="shared" si="37"/>
        <v>0</v>
      </c>
      <c r="S114" s="6">
        <f t="shared" si="38"/>
        <v>0.25454545454545452</v>
      </c>
      <c r="T114" s="83">
        <f t="shared" si="39"/>
        <v>1.1061779401498884E-2</v>
      </c>
      <c r="W114" s="80"/>
      <c r="X114" s="81">
        <f t="shared" si="29"/>
        <v>0.2149551791938687</v>
      </c>
      <c r="Y114">
        <f t="shared" si="40"/>
        <v>0.58509886825474733</v>
      </c>
      <c r="Z114" s="81">
        <f t="shared" si="41"/>
        <v>40.394228040143275</v>
      </c>
    </row>
    <row r="115" spans="1:26" hidden="1" x14ac:dyDescent="0.35">
      <c r="A115" s="36">
        <v>0.5</v>
      </c>
      <c r="B115" s="8">
        <v>6.0000000000000001E-3</v>
      </c>
      <c r="C115" s="5">
        <f t="shared" si="42"/>
        <v>0.6</v>
      </c>
      <c r="D115" s="2">
        <v>100</v>
      </c>
      <c r="E115" s="5">
        <f t="shared" si="43"/>
        <v>100.6</v>
      </c>
      <c r="F115" s="5">
        <f t="shared" si="44"/>
        <v>0.59999999999999432</v>
      </c>
      <c r="G115" s="8">
        <f t="shared" si="45"/>
        <v>0.19947114020071635</v>
      </c>
      <c r="H115" s="5">
        <f t="shared" si="46"/>
        <v>19.947114020071634</v>
      </c>
      <c r="I115" s="80">
        <f t="shared" si="30"/>
        <v>19.501876760239405</v>
      </c>
      <c r="J115" s="80">
        <f t="shared" ref="J115:J146" si="47">I115/H115</f>
        <v>0.97767911391170614</v>
      </c>
      <c r="K115" s="2">
        <f t="shared" si="31"/>
        <v>0.26579524608314653</v>
      </c>
      <c r="L115" s="5">
        <f t="shared" si="32"/>
        <v>0.5</v>
      </c>
      <c r="M115" s="80">
        <f t="shared" si="28"/>
        <v>-0.23420475391685347</v>
      </c>
      <c r="N115" s="80">
        <f t="shared" si="33"/>
        <v>1.1964143355094938E-2</v>
      </c>
      <c r="O115" s="6">
        <f t="shared" si="34"/>
        <v>0</v>
      </c>
      <c r="P115" s="6">
        <f t="shared" si="35"/>
        <v>0</v>
      </c>
      <c r="Q115" s="6">
        <f t="shared" si="36"/>
        <v>0</v>
      </c>
      <c r="R115" s="6">
        <f t="shared" si="37"/>
        <v>0</v>
      </c>
      <c r="S115" s="6">
        <f t="shared" si="38"/>
        <v>0.27272727272727271</v>
      </c>
      <c r="T115" s="83">
        <f t="shared" si="39"/>
        <v>-6.9320266441261769E-3</v>
      </c>
      <c r="W115" s="80"/>
      <c r="X115" s="81">
        <f t="shared" si="29"/>
        <v>0.26196414335509494</v>
      </c>
      <c r="Y115">
        <f t="shared" si="40"/>
        <v>0.60332545674598625</v>
      </c>
      <c r="Z115" s="81">
        <f t="shared" si="41"/>
        <v>40.394228040143275</v>
      </c>
    </row>
    <row r="116" spans="1:26" hidden="1" x14ac:dyDescent="0.35">
      <c r="A116" s="36">
        <v>0.6</v>
      </c>
      <c r="B116" s="8">
        <v>6.0000000000000001E-3</v>
      </c>
      <c r="C116" s="5">
        <f t="shared" si="42"/>
        <v>0.6</v>
      </c>
      <c r="D116" s="2">
        <v>100</v>
      </c>
      <c r="E116" s="5">
        <f t="shared" si="43"/>
        <v>100.6</v>
      </c>
      <c r="F116" s="5">
        <f t="shared" si="44"/>
        <v>0.59999999999999432</v>
      </c>
      <c r="G116" s="8">
        <f t="shared" si="45"/>
        <v>0.23936536824085961</v>
      </c>
      <c r="H116" s="5">
        <f t="shared" si="46"/>
        <v>23.936536824085959</v>
      </c>
      <c r="I116" s="80">
        <f t="shared" si="30"/>
        <v>23.354172025428589</v>
      </c>
      <c r="J116" s="80">
        <f t="shared" si="47"/>
        <v>0.97567046549226077</v>
      </c>
      <c r="K116" s="2">
        <f t="shared" si="31"/>
        <v>0.24360152779293265</v>
      </c>
      <c r="L116" s="5">
        <f t="shared" si="32"/>
        <v>0.6</v>
      </c>
      <c r="M116" s="80">
        <f t="shared" si="28"/>
        <v>-0.35639847220706733</v>
      </c>
      <c r="N116" s="80">
        <f t="shared" si="33"/>
        <v>9.9701194625791151E-3</v>
      </c>
      <c r="O116" s="6">
        <f t="shared" si="34"/>
        <v>0</v>
      </c>
      <c r="P116" s="6">
        <f t="shared" si="35"/>
        <v>0</v>
      </c>
      <c r="Q116" s="6">
        <f t="shared" si="36"/>
        <v>0</v>
      </c>
      <c r="R116" s="6">
        <f t="shared" si="37"/>
        <v>0</v>
      </c>
      <c r="S116" s="6">
        <f t="shared" si="38"/>
        <v>0.27272727272727271</v>
      </c>
      <c r="T116" s="83">
        <f t="shared" si="39"/>
        <v>-2.9125744934340059E-2</v>
      </c>
      <c r="W116" s="80"/>
      <c r="X116" s="81">
        <f t="shared" si="29"/>
        <v>0.30997011946257913</v>
      </c>
      <c r="Y116">
        <f t="shared" si="40"/>
        <v>0.62170816040157928</v>
      </c>
      <c r="Z116" s="81">
        <f t="shared" si="41"/>
        <v>40.394228040143275</v>
      </c>
    </row>
    <row r="117" spans="1:26" hidden="1" x14ac:dyDescent="0.35">
      <c r="A117" s="36">
        <v>0.01</v>
      </c>
      <c r="B117" s="8">
        <v>0.01</v>
      </c>
      <c r="C117" s="5">
        <f t="shared" si="42"/>
        <v>1</v>
      </c>
      <c r="D117" s="2">
        <v>100</v>
      </c>
      <c r="E117" s="5">
        <f t="shared" si="43"/>
        <v>101</v>
      </c>
      <c r="F117" s="5">
        <f t="shared" si="44"/>
        <v>1</v>
      </c>
      <c r="G117" s="8">
        <f t="shared" si="45"/>
        <v>3.9894228040143268E-3</v>
      </c>
      <c r="H117" s="5">
        <f t="shared" si="46"/>
        <v>0.39894228040143265</v>
      </c>
      <c r="I117" s="80">
        <f t="shared" si="30"/>
        <v>8.4525304139674518E-2</v>
      </c>
      <c r="J117" s="80">
        <f t="shared" si="47"/>
        <v>0.21187351727829293</v>
      </c>
      <c r="K117" s="2">
        <f t="shared" si="31"/>
        <v>6.4442714272008785E-3</v>
      </c>
      <c r="L117" s="5">
        <f t="shared" si="32"/>
        <v>0.01</v>
      </c>
      <c r="M117" s="80">
        <f t="shared" si="28"/>
        <v>-3.5557285727991217E-3</v>
      </c>
      <c r="N117" s="80">
        <f t="shared" si="33"/>
        <v>0.99503308531680923</v>
      </c>
      <c r="O117" s="6">
        <f t="shared" si="34"/>
        <v>0</v>
      </c>
      <c r="P117" s="6">
        <f t="shared" si="35"/>
        <v>0</v>
      </c>
      <c r="Q117" s="6">
        <f t="shared" si="36"/>
        <v>0</v>
      </c>
      <c r="R117" s="6">
        <f t="shared" si="37"/>
        <v>0</v>
      </c>
      <c r="S117" s="6">
        <f t="shared" si="38"/>
        <v>9.9333333333333339E-3</v>
      </c>
      <c r="T117" s="83">
        <f t="shared" si="39"/>
        <v>-3.4890619061324554E-3</v>
      </c>
      <c r="W117" s="80"/>
      <c r="X117" s="81">
        <f t="shared" si="29"/>
        <v>1.0000330853168091</v>
      </c>
      <c r="Y117">
        <f t="shared" si="40"/>
        <v>0.84135275161418699</v>
      </c>
      <c r="Z117" s="81">
        <f t="shared" si="41"/>
        <v>40.394228040143275</v>
      </c>
    </row>
    <row r="118" spans="1:26" hidden="1" x14ac:dyDescent="0.35">
      <c r="A118" s="36">
        <v>0.02</v>
      </c>
      <c r="B118" s="8">
        <v>0.01</v>
      </c>
      <c r="C118" s="5">
        <f t="shared" si="42"/>
        <v>1</v>
      </c>
      <c r="D118" s="2">
        <v>100</v>
      </c>
      <c r="E118" s="5">
        <f t="shared" si="43"/>
        <v>101</v>
      </c>
      <c r="F118" s="5">
        <f t="shared" si="44"/>
        <v>1</v>
      </c>
      <c r="G118" s="8">
        <f t="shared" si="45"/>
        <v>7.9788456080286535E-3</v>
      </c>
      <c r="H118" s="5">
        <f t="shared" si="46"/>
        <v>0.79788456080286529</v>
      </c>
      <c r="I118" s="80">
        <f t="shared" si="30"/>
        <v>0.39909830409690983</v>
      </c>
      <c r="J118" s="80">
        <f t="shared" si="47"/>
        <v>0.5001955467032978</v>
      </c>
      <c r="K118" s="2">
        <f t="shared" si="31"/>
        <v>1.4435093508057627E-2</v>
      </c>
      <c r="L118" s="5">
        <f t="shared" si="32"/>
        <v>0.02</v>
      </c>
      <c r="M118" s="80">
        <f t="shared" si="28"/>
        <v>-5.5649064919423737E-3</v>
      </c>
      <c r="N118" s="80">
        <f t="shared" si="33"/>
        <v>0.49751654265840461</v>
      </c>
      <c r="O118" s="6">
        <f t="shared" si="34"/>
        <v>0</v>
      </c>
      <c r="P118" s="6">
        <f t="shared" si="35"/>
        <v>0</v>
      </c>
      <c r="Q118" s="6">
        <f t="shared" si="36"/>
        <v>0</v>
      </c>
      <c r="R118" s="6">
        <f t="shared" si="37"/>
        <v>0</v>
      </c>
      <c r="S118" s="6">
        <f t="shared" si="38"/>
        <v>1.9733333333333335E-2</v>
      </c>
      <c r="T118" s="83">
        <f t="shared" si="39"/>
        <v>-5.2982398252757086E-3</v>
      </c>
      <c r="W118" s="80"/>
      <c r="X118" s="81">
        <f t="shared" si="29"/>
        <v>0.50751654265840462</v>
      </c>
      <c r="Y118">
        <f t="shared" si="40"/>
        <v>0.69410378391350303</v>
      </c>
      <c r="Z118" s="81">
        <f t="shared" si="41"/>
        <v>40.394228040143275</v>
      </c>
    </row>
    <row r="119" spans="1:26" hidden="1" x14ac:dyDescent="0.35">
      <c r="A119" s="36">
        <v>0.05</v>
      </c>
      <c r="B119" s="8">
        <v>0.01</v>
      </c>
      <c r="C119" s="5">
        <f t="shared" si="42"/>
        <v>1</v>
      </c>
      <c r="D119" s="2">
        <v>100</v>
      </c>
      <c r="E119" s="5">
        <f t="shared" si="43"/>
        <v>101</v>
      </c>
      <c r="F119" s="5">
        <f t="shared" si="44"/>
        <v>1</v>
      </c>
      <c r="G119" s="8">
        <f t="shared" si="45"/>
        <v>1.9947114020071637E-2</v>
      </c>
      <c r="H119" s="5">
        <f t="shared" si="46"/>
        <v>1.9947114020071637</v>
      </c>
      <c r="I119" s="80">
        <f t="shared" si="30"/>
        <v>1.5440292982588346</v>
      </c>
      <c r="J119" s="80">
        <f t="shared" si="47"/>
        <v>0.77406149917485134</v>
      </c>
      <c r="K119" s="2">
        <f t="shared" si="31"/>
        <v>3.9046644583655123E-2</v>
      </c>
      <c r="L119" s="5">
        <f t="shared" si="32"/>
        <v>0.05</v>
      </c>
      <c r="M119" s="80">
        <f t="shared" si="28"/>
        <v>-1.095335541634488E-2</v>
      </c>
      <c r="N119" s="80">
        <f t="shared" si="33"/>
        <v>0.19900661706336184</v>
      </c>
      <c r="O119" s="6">
        <f t="shared" si="34"/>
        <v>0</v>
      </c>
      <c r="P119" s="6">
        <f t="shared" si="35"/>
        <v>0</v>
      </c>
      <c r="Q119" s="6">
        <f t="shared" si="36"/>
        <v>0</v>
      </c>
      <c r="R119" s="6">
        <f t="shared" si="37"/>
        <v>0</v>
      </c>
      <c r="S119" s="6">
        <f t="shared" si="38"/>
        <v>4.8333333333333339E-2</v>
      </c>
      <c r="T119" s="83">
        <f t="shared" si="39"/>
        <v>-9.2866887496782166E-3</v>
      </c>
      <c r="W119" s="80"/>
      <c r="X119" s="81">
        <f t="shared" si="29"/>
        <v>0.22400661706336183</v>
      </c>
      <c r="Y119">
        <f t="shared" si="40"/>
        <v>0.58862392280337184</v>
      </c>
      <c r="Z119" s="81">
        <f t="shared" si="41"/>
        <v>40.394228040143275</v>
      </c>
    </row>
    <row r="120" spans="1:26" hidden="1" x14ac:dyDescent="0.35">
      <c r="A120" s="36">
        <v>0.08</v>
      </c>
      <c r="B120" s="8">
        <v>0.01</v>
      </c>
      <c r="C120" s="5">
        <f t="shared" si="42"/>
        <v>1</v>
      </c>
      <c r="D120" s="2">
        <v>100</v>
      </c>
      <c r="E120" s="5">
        <f t="shared" si="43"/>
        <v>101</v>
      </c>
      <c r="F120" s="5">
        <f t="shared" si="44"/>
        <v>1</v>
      </c>
      <c r="G120" s="8">
        <f t="shared" si="45"/>
        <v>3.1915382432114614E-2</v>
      </c>
      <c r="H120" s="5">
        <f t="shared" si="46"/>
        <v>3.1915382432114612</v>
      </c>
      <c r="I120" s="80">
        <f t="shared" si="30"/>
        <v>2.7313990546101721</v>
      </c>
      <c r="J120" s="80">
        <f t="shared" si="47"/>
        <v>0.85582526244828028</v>
      </c>
      <c r="K120" s="2">
        <f t="shared" si="31"/>
        <v>6.4230590354815542E-2</v>
      </c>
      <c r="L120" s="5">
        <f t="shared" si="32"/>
        <v>0.08</v>
      </c>
      <c r="M120" s="80">
        <f t="shared" si="28"/>
        <v>-1.576940964518446E-2</v>
      </c>
      <c r="N120" s="80">
        <f t="shared" si="33"/>
        <v>0.12437913566460115</v>
      </c>
      <c r="O120" s="6">
        <f t="shared" si="34"/>
        <v>0</v>
      </c>
      <c r="P120" s="6">
        <f t="shared" si="35"/>
        <v>0</v>
      </c>
      <c r="Q120" s="6">
        <f t="shared" si="36"/>
        <v>0</v>
      </c>
      <c r="R120" s="6">
        <f t="shared" si="37"/>
        <v>0</v>
      </c>
      <c r="S120" s="6">
        <f t="shared" si="38"/>
        <v>7.5733333333333333E-2</v>
      </c>
      <c r="T120" s="83">
        <f t="shared" si="39"/>
        <v>-1.1502742978517791E-2</v>
      </c>
      <c r="W120" s="80"/>
      <c r="X120" s="81">
        <f t="shared" si="29"/>
        <v>0.16437913566460116</v>
      </c>
      <c r="Y120">
        <f t="shared" si="40"/>
        <v>0.56528365626033672</v>
      </c>
      <c r="Z120" s="81">
        <f t="shared" si="41"/>
        <v>40.394228040143275</v>
      </c>
    </row>
    <row r="121" spans="1:26" hidden="1" x14ac:dyDescent="0.35">
      <c r="A121" s="36">
        <v>0.1</v>
      </c>
      <c r="B121" s="8">
        <v>0.01</v>
      </c>
      <c r="C121" s="5">
        <f t="shared" si="42"/>
        <v>1</v>
      </c>
      <c r="D121" s="2">
        <v>100</v>
      </c>
      <c r="E121" s="5">
        <f t="shared" si="43"/>
        <v>101</v>
      </c>
      <c r="F121" s="5">
        <f t="shared" si="44"/>
        <v>1</v>
      </c>
      <c r="G121" s="8">
        <f t="shared" si="45"/>
        <v>3.9894228040143274E-2</v>
      </c>
      <c r="H121" s="5">
        <f t="shared" si="46"/>
        <v>3.9894228040143274</v>
      </c>
      <c r="I121" s="80">
        <f t="shared" si="30"/>
        <v>3.5275068370385512</v>
      </c>
      <c r="J121" s="80">
        <f t="shared" si="47"/>
        <v>0.88421483766749998</v>
      </c>
      <c r="K121" s="2">
        <f t="shared" si="31"/>
        <v>8.1264332038496354E-2</v>
      </c>
      <c r="L121" s="5">
        <f t="shared" si="32"/>
        <v>0.1</v>
      </c>
      <c r="M121" s="80">
        <f t="shared" si="28"/>
        <v>-1.8735667961503652E-2</v>
      </c>
      <c r="N121" s="80">
        <f t="shared" si="33"/>
        <v>9.950330853168092E-2</v>
      </c>
      <c r="O121" s="6">
        <f t="shared" si="34"/>
        <v>0</v>
      </c>
      <c r="P121" s="6">
        <f t="shared" si="35"/>
        <v>0</v>
      </c>
      <c r="Q121" s="6">
        <f t="shared" si="36"/>
        <v>0</v>
      </c>
      <c r="R121" s="6">
        <f t="shared" si="37"/>
        <v>0</v>
      </c>
      <c r="S121" s="6">
        <f t="shared" si="38"/>
        <v>9.3333333333333338E-2</v>
      </c>
      <c r="T121" s="83">
        <f t="shared" si="39"/>
        <v>-1.2069001294836984E-2</v>
      </c>
      <c r="W121" s="80"/>
      <c r="X121" s="81">
        <f t="shared" si="29"/>
        <v>0.14950330853168092</v>
      </c>
      <c r="Y121">
        <f t="shared" si="40"/>
        <v>0.55942175056110255</v>
      </c>
      <c r="Z121" s="81">
        <f t="shared" si="41"/>
        <v>40.394228040143275</v>
      </c>
    </row>
    <row r="122" spans="1:26" hidden="1" x14ac:dyDescent="0.35">
      <c r="A122" s="36">
        <v>0.12</v>
      </c>
      <c r="B122" s="8">
        <v>0.01</v>
      </c>
      <c r="C122" s="5">
        <f t="shared" si="42"/>
        <v>1</v>
      </c>
      <c r="D122" s="2">
        <v>100</v>
      </c>
      <c r="E122" s="5">
        <f t="shared" si="43"/>
        <v>101</v>
      </c>
      <c r="F122" s="5">
        <f t="shared" si="44"/>
        <v>1</v>
      </c>
      <c r="G122" s="8">
        <f t="shared" si="45"/>
        <v>4.7873073648171921E-2</v>
      </c>
      <c r="H122" s="5">
        <f t="shared" si="46"/>
        <v>4.7873073648171918</v>
      </c>
      <c r="I122" s="80">
        <f t="shared" si="30"/>
        <v>4.3248595127916971</v>
      </c>
      <c r="J122" s="80">
        <f t="shared" si="47"/>
        <v>0.90340126154754352</v>
      </c>
      <c r="K122" s="2">
        <f t="shared" si="31"/>
        <v>9.843637817796852E-2</v>
      </c>
      <c r="L122" s="5">
        <f t="shared" si="32"/>
        <v>0.12</v>
      </c>
      <c r="M122" s="80">
        <f t="shared" si="28"/>
        <v>-2.1563621822031476E-2</v>
      </c>
      <c r="N122" s="80">
        <f t="shared" si="33"/>
        <v>8.2919423776400769E-2</v>
      </c>
      <c r="O122" s="6">
        <f t="shared" si="34"/>
        <v>0</v>
      </c>
      <c r="P122" s="6">
        <f t="shared" si="35"/>
        <v>0</v>
      </c>
      <c r="Q122" s="6">
        <f t="shared" si="36"/>
        <v>0</v>
      </c>
      <c r="R122" s="6">
        <f t="shared" si="37"/>
        <v>0</v>
      </c>
      <c r="S122" s="6">
        <f t="shared" si="38"/>
        <v>0.1104</v>
      </c>
      <c r="T122" s="83">
        <f t="shared" si="39"/>
        <v>-1.1963621822031478E-2</v>
      </c>
      <c r="W122" s="80"/>
      <c r="X122" s="81">
        <f t="shared" si="29"/>
        <v>0.14291942377640077</v>
      </c>
      <c r="Y122">
        <f t="shared" si="40"/>
        <v>0.55682309095252436</v>
      </c>
      <c r="Z122" s="81">
        <f t="shared" si="41"/>
        <v>40.394228040143275</v>
      </c>
    </row>
    <row r="123" spans="1:26" hidden="1" x14ac:dyDescent="0.35">
      <c r="A123" s="36">
        <v>0.15</v>
      </c>
      <c r="B123" s="8">
        <v>0.01</v>
      </c>
      <c r="C123" s="5">
        <f t="shared" si="42"/>
        <v>1</v>
      </c>
      <c r="D123" s="2">
        <v>100</v>
      </c>
      <c r="E123" s="5">
        <f t="shared" si="43"/>
        <v>101</v>
      </c>
      <c r="F123" s="5">
        <f t="shared" si="44"/>
        <v>1</v>
      </c>
      <c r="G123" s="8">
        <f t="shared" si="45"/>
        <v>5.9841342060214901E-2</v>
      </c>
      <c r="H123" s="5">
        <f t="shared" si="46"/>
        <v>5.9841342060214897</v>
      </c>
      <c r="I123" s="80">
        <f t="shared" si="30"/>
        <v>5.5216114538160213</v>
      </c>
      <c r="J123" s="80">
        <f t="shared" si="47"/>
        <v>0.9227084927774416</v>
      </c>
      <c r="K123" s="2">
        <f t="shared" si="31"/>
        <v>0.12431329310057954</v>
      </c>
      <c r="L123" s="5">
        <f t="shared" si="32"/>
        <v>0.15</v>
      </c>
      <c r="M123" s="80">
        <f t="shared" si="28"/>
        <v>-2.5686706899420458E-2</v>
      </c>
      <c r="N123" s="80">
        <f t="shared" si="33"/>
        <v>6.6335539021120618E-2</v>
      </c>
      <c r="O123" s="6">
        <f t="shared" si="34"/>
        <v>0</v>
      </c>
      <c r="P123" s="6">
        <f t="shared" si="35"/>
        <v>0</v>
      </c>
      <c r="Q123" s="6">
        <f t="shared" si="36"/>
        <v>0</v>
      </c>
      <c r="R123" s="6">
        <f t="shared" si="37"/>
        <v>0</v>
      </c>
      <c r="S123" s="6">
        <f t="shared" si="38"/>
        <v>0.13500000000000001</v>
      </c>
      <c r="T123" s="83">
        <f t="shared" si="39"/>
        <v>-1.0686706899420473E-2</v>
      </c>
      <c r="W123" s="80"/>
      <c r="X123" s="81">
        <f t="shared" si="29"/>
        <v>0.14133553902112062</v>
      </c>
      <c r="Y123">
        <f t="shared" si="40"/>
        <v>0.55619756234262008</v>
      </c>
      <c r="Z123" s="81">
        <f t="shared" si="41"/>
        <v>40.394228040143275</v>
      </c>
    </row>
    <row r="124" spans="1:26" hidden="1" x14ac:dyDescent="0.35">
      <c r="A124" s="36">
        <v>0.2</v>
      </c>
      <c r="B124" s="8">
        <v>0.01</v>
      </c>
      <c r="C124" s="5">
        <f t="shared" si="42"/>
        <v>1</v>
      </c>
      <c r="D124" s="2">
        <v>100</v>
      </c>
      <c r="E124" s="5">
        <f t="shared" si="43"/>
        <v>101</v>
      </c>
      <c r="F124" s="5">
        <f t="shared" si="44"/>
        <v>1</v>
      </c>
      <c r="G124" s="8">
        <f t="shared" si="45"/>
        <v>7.9788456080286549E-2</v>
      </c>
      <c r="H124" s="5">
        <f t="shared" si="46"/>
        <v>7.9788456080286547</v>
      </c>
      <c r="I124" s="80">
        <f t="shared" si="30"/>
        <v>7.5152677589693369</v>
      </c>
      <c r="J124" s="80">
        <f t="shared" si="47"/>
        <v>0.9418991328027646</v>
      </c>
      <c r="K124" s="2">
        <f t="shared" si="31"/>
        <v>0.16706459268812218</v>
      </c>
      <c r="L124" s="5">
        <f t="shared" si="32"/>
        <v>0.2</v>
      </c>
      <c r="M124" s="80">
        <f t="shared" si="28"/>
        <v>-3.2935407311877829E-2</v>
      </c>
      <c r="N124" s="80">
        <f t="shared" si="33"/>
        <v>4.975165426584046E-2</v>
      </c>
      <c r="O124" s="6">
        <f t="shared" si="34"/>
        <v>0</v>
      </c>
      <c r="P124" s="6">
        <f t="shared" si="35"/>
        <v>0</v>
      </c>
      <c r="Q124" s="6">
        <f t="shared" si="36"/>
        <v>0</v>
      </c>
      <c r="R124" s="6">
        <f t="shared" si="37"/>
        <v>0</v>
      </c>
      <c r="S124" s="6">
        <f t="shared" si="38"/>
        <v>0.17333333333333334</v>
      </c>
      <c r="T124" s="83">
        <f t="shared" si="39"/>
        <v>-6.2687406452111571E-3</v>
      </c>
      <c r="W124" s="80"/>
      <c r="X124" s="81">
        <f t="shared" si="29"/>
        <v>0.14975165426584047</v>
      </c>
      <c r="Y124">
        <f t="shared" si="40"/>
        <v>0.55951972328745048</v>
      </c>
      <c r="Z124" s="81">
        <f t="shared" si="41"/>
        <v>40.394228040143275</v>
      </c>
    </row>
    <row r="125" spans="1:26" hidden="1" x14ac:dyDescent="0.35">
      <c r="A125" s="36">
        <v>0.25</v>
      </c>
      <c r="B125" s="8">
        <v>0.01</v>
      </c>
      <c r="C125" s="5">
        <f t="shared" si="42"/>
        <v>1</v>
      </c>
      <c r="D125" s="2">
        <v>100</v>
      </c>
      <c r="E125" s="5">
        <f t="shared" si="43"/>
        <v>101</v>
      </c>
      <c r="F125" s="5">
        <f t="shared" si="44"/>
        <v>1</v>
      </c>
      <c r="G125" s="8">
        <f t="shared" si="45"/>
        <v>9.9735570100358176E-2</v>
      </c>
      <c r="H125" s="5">
        <f t="shared" si="46"/>
        <v>9.9735570100358171</v>
      </c>
      <c r="I125" s="80">
        <f t="shared" si="30"/>
        <v>9.5052595667542619</v>
      </c>
      <c r="J125" s="80">
        <f t="shared" si="47"/>
        <v>0.95304609550932184</v>
      </c>
      <c r="K125" s="2">
        <f t="shared" si="31"/>
        <v>0.20793475856175644</v>
      </c>
      <c r="L125" s="5">
        <f t="shared" si="32"/>
        <v>0.25</v>
      </c>
      <c r="M125" s="80">
        <f t="shared" si="28"/>
        <v>-4.2065241438243556E-2</v>
      </c>
      <c r="N125" s="80">
        <f t="shared" si="33"/>
        <v>3.9801323412672368E-2</v>
      </c>
      <c r="O125" s="6">
        <f t="shared" si="34"/>
        <v>0</v>
      </c>
      <c r="P125" s="6">
        <f t="shared" si="35"/>
        <v>0</v>
      </c>
      <c r="Q125" s="6">
        <f t="shared" si="36"/>
        <v>0</v>
      </c>
      <c r="R125" s="6">
        <f t="shared" si="37"/>
        <v>0</v>
      </c>
      <c r="S125" s="6">
        <f t="shared" si="38"/>
        <v>0.20833333333333334</v>
      </c>
      <c r="T125" s="83">
        <f t="shared" si="39"/>
        <v>-3.9857477157689836E-4</v>
      </c>
      <c r="W125" s="80"/>
      <c r="X125" s="81">
        <f t="shared" si="29"/>
        <v>0.16480132341267237</v>
      </c>
      <c r="Y125">
        <f t="shared" si="40"/>
        <v>0.56544981882319367</v>
      </c>
      <c r="Z125" s="81">
        <f t="shared" si="41"/>
        <v>40.394228040143275</v>
      </c>
    </row>
    <row r="126" spans="1:26" hidden="1" x14ac:dyDescent="0.35">
      <c r="A126" s="36">
        <v>0.3</v>
      </c>
      <c r="B126" s="8">
        <v>0.01</v>
      </c>
      <c r="C126" s="5">
        <f t="shared" si="42"/>
        <v>1</v>
      </c>
      <c r="D126" s="2">
        <v>100</v>
      </c>
      <c r="E126" s="5">
        <f t="shared" si="43"/>
        <v>101</v>
      </c>
      <c r="F126" s="5">
        <f t="shared" si="44"/>
        <v>1</v>
      </c>
      <c r="G126" s="8">
        <f t="shared" si="45"/>
        <v>0.1196826841204298</v>
      </c>
      <c r="H126" s="5">
        <f t="shared" si="46"/>
        <v>11.968268412042979</v>
      </c>
      <c r="I126" s="80">
        <f t="shared" si="30"/>
        <v>11.489697553016399</v>
      </c>
      <c r="J126" s="80">
        <f t="shared" si="47"/>
        <v>0.96001335844498414</v>
      </c>
      <c r="K126" s="2">
        <f t="shared" si="31"/>
        <v>0.24504951238381778</v>
      </c>
      <c r="L126" s="5">
        <f t="shared" si="32"/>
        <v>0.3</v>
      </c>
      <c r="M126" s="80">
        <f t="shared" si="28"/>
        <v>-5.4950487616182209E-2</v>
      </c>
      <c r="N126" s="80">
        <f t="shared" si="33"/>
        <v>3.3167769510560309E-2</v>
      </c>
      <c r="O126" s="6">
        <f t="shared" si="34"/>
        <v>0</v>
      </c>
      <c r="P126" s="6">
        <f t="shared" si="35"/>
        <v>0</v>
      </c>
      <c r="Q126" s="6">
        <f t="shared" si="36"/>
        <v>0</v>
      </c>
      <c r="R126" s="6">
        <f t="shared" si="37"/>
        <v>0</v>
      </c>
      <c r="S126" s="6">
        <f t="shared" si="38"/>
        <v>0.24</v>
      </c>
      <c r="T126" s="83">
        <f t="shared" si="39"/>
        <v>5.0495123838177891E-3</v>
      </c>
      <c r="W126" s="80"/>
      <c r="X126" s="81">
        <f t="shared" si="29"/>
        <v>0.1831677695105603</v>
      </c>
      <c r="Y126">
        <f t="shared" si="40"/>
        <v>0.57266680864724706</v>
      </c>
      <c r="Z126" s="81">
        <f t="shared" si="41"/>
        <v>40.394228040143275</v>
      </c>
    </row>
    <row r="127" spans="1:26" hidden="1" x14ac:dyDescent="0.35">
      <c r="A127" s="36">
        <v>0.35</v>
      </c>
      <c r="B127" s="8">
        <v>0.01</v>
      </c>
      <c r="C127" s="5">
        <f t="shared" si="42"/>
        <v>1</v>
      </c>
      <c r="D127" s="2">
        <v>100</v>
      </c>
      <c r="E127" s="5">
        <f t="shared" si="43"/>
        <v>101</v>
      </c>
      <c r="F127" s="5">
        <f t="shared" si="44"/>
        <v>1</v>
      </c>
      <c r="G127" s="8">
        <f t="shared" si="45"/>
        <v>0.13962979814050144</v>
      </c>
      <c r="H127" s="5">
        <f t="shared" si="46"/>
        <v>13.962979814050144</v>
      </c>
      <c r="I127" s="80">
        <f t="shared" si="30"/>
        <v>13.467081131507435</v>
      </c>
      <c r="J127" s="80">
        <f t="shared" si="47"/>
        <v>0.9644847525996052</v>
      </c>
      <c r="K127" s="2">
        <f t="shared" si="31"/>
        <v>0.27653907195562488</v>
      </c>
      <c r="L127" s="5">
        <f t="shared" si="32"/>
        <v>0.35</v>
      </c>
      <c r="M127" s="80">
        <f t="shared" si="28"/>
        <v>-7.3460928044375096E-2</v>
      </c>
      <c r="N127" s="80">
        <f t="shared" si="33"/>
        <v>2.8429516723337409E-2</v>
      </c>
      <c r="O127" s="6">
        <f t="shared" si="34"/>
        <v>0</v>
      </c>
      <c r="P127" s="6">
        <f t="shared" si="35"/>
        <v>0</v>
      </c>
      <c r="Q127" s="6">
        <f t="shared" si="36"/>
        <v>0</v>
      </c>
      <c r="R127" s="6">
        <f t="shared" si="37"/>
        <v>0</v>
      </c>
      <c r="S127" s="6">
        <f t="shared" si="38"/>
        <v>0.26833333333333331</v>
      </c>
      <c r="T127" s="83">
        <f t="shared" si="39"/>
        <v>8.2057386222915696E-3</v>
      </c>
      <c r="W127" s="80"/>
      <c r="X127" s="81">
        <f t="shared" si="29"/>
        <v>0.20342951672333739</v>
      </c>
      <c r="Y127">
        <f t="shared" si="40"/>
        <v>0.5806003344470525</v>
      </c>
      <c r="Z127" s="81">
        <f t="shared" si="41"/>
        <v>40.394228040143275</v>
      </c>
    </row>
    <row r="128" spans="1:26" hidden="1" x14ac:dyDescent="0.35">
      <c r="A128" s="36">
        <v>0.4</v>
      </c>
      <c r="B128" s="8">
        <v>0.01</v>
      </c>
      <c r="C128" s="5">
        <f t="shared" si="42"/>
        <v>1</v>
      </c>
      <c r="D128" s="2">
        <v>100</v>
      </c>
      <c r="E128" s="5">
        <f t="shared" si="43"/>
        <v>101</v>
      </c>
      <c r="F128" s="5">
        <f t="shared" si="44"/>
        <v>1</v>
      </c>
      <c r="G128" s="8">
        <f t="shared" si="45"/>
        <v>0.1595769121605731</v>
      </c>
      <c r="H128" s="5">
        <f t="shared" si="46"/>
        <v>15.957691216057309</v>
      </c>
      <c r="I128" s="80">
        <f t="shared" si="30"/>
        <v>15.436065091661732</v>
      </c>
      <c r="J128" s="80">
        <f t="shared" si="47"/>
        <v>0.96731193019509643</v>
      </c>
      <c r="K128" s="2">
        <f t="shared" si="31"/>
        <v>0.30089431475024675</v>
      </c>
      <c r="L128" s="5">
        <f t="shared" si="32"/>
        <v>0.4</v>
      </c>
      <c r="M128" s="80">
        <f t="shared" si="28"/>
        <v>-9.9105685249753273E-2</v>
      </c>
      <c r="N128" s="80">
        <f t="shared" si="33"/>
        <v>2.487582713292023E-2</v>
      </c>
      <c r="O128" s="6">
        <f t="shared" si="34"/>
        <v>0</v>
      </c>
      <c r="P128" s="6">
        <f t="shared" si="35"/>
        <v>0</v>
      </c>
      <c r="Q128" s="6">
        <f t="shared" si="36"/>
        <v>0</v>
      </c>
      <c r="R128" s="6">
        <f t="shared" si="37"/>
        <v>0</v>
      </c>
      <c r="S128" s="6">
        <f t="shared" si="38"/>
        <v>0.29333333333333333</v>
      </c>
      <c r="T128" s="83">
        <f t="shared" si="39"/>
        <v>7.5609814169134149E-3</v>
      </c>
      <c r="W128" s="80"/>
      <c r="X128" s="81">
        <f t="shared" si="29"/>
        <v>0.22487582713292023</v>
      </c>
      <c r="Y128">
        <f t="shared" si="40"/>
        <v>0.58896206257616768</v>
      </c>
      <c r="Z128" s="81">
        <f t="shared" si="41"/>
        <v>40.394228040143275</v>
      </c>
    </row>
    <row r="129" spans="1:26" hidden="1" x14ac:dyDescent="0.35">
      <c r="A129" s="36">
        <v>0.5</v>
      </c>
      <c r="B129" s="8">
        <v>0.01</v>
      </c>
      <c r="C129" s="5">
        <f t="shared" si="42"/>
        <v>1</v>
      </c>
      <c r="D129" s="2">
        <v>100</v>
      </c>
      <c r="E129" s="5">
        <f t="shared" si="43"/>
        <v>101</v>
      </c>
      <c r="F129" s="5">
        <f t="shared" si="44"/>
        <v>1</v>
      </c>
      <c r="G129" s="8">
        <f t="shared" si="45"/>
        <v>0.19947114020071635</v>
      </c>
      <c r="H129" s="5">
        <f t="shared" si="46"/>
        <v>19.947114020071634</v>
      </c>
      <c r="I129" s="80">
        <f t="shared" si="30"/>
        <v>19.343818803051207</v>
      </c>
      <c r="J129" s="80">
        <f t="shared" si="47"/>
        <v>0.96975526302133896</v>
      </c>
      <c r="K129" s="2">
        <f t="shared" si="31"/>
        <v>0.32561044528319927</v>
      </c>
      <c r="L129" s="5">
        <f t="shared" si="32"/>
        <v>0.5</v>
      </c>
      <c r="M129" s="80">
        <f t="shared" si="28"/>
        <v>-0.17438955471680073</v>
      </c>
      <c r="N129" s="80">
        <f t="shared" si="33"/>
        <v>1.9900661706336184E-2</v>
      </c>
      <c r="O129" s="6">
        <f t="shared" si="34"/>
        <v>0</v>
      </c>
      <c r="P129" s="6">
        <f t="shared" si="35"/>
        <v>0</v>
      </c>
      <c r="Q129" s="6">
        <f t="shared" si="36"/>
        <v>0</v>
      </c>
      <c r="R129" s="6">
        <f t="shared" si="37"/>
        <v>0</v>
      </c>
      <c r="S129" s="6">
        <f t="shared" si="38"/>
        <v>0.33333333333333337</v>
      </c>
      <c r="T129" s="83">
        <f t="shared" si="39"/>
        <v>-7.7228880501341024E-3</v>
      </c>
      <c r="W129" s="80"/>
      <c r="X129" s="81">
        <f t="shared" si="29"/>
        <v>0.2699006617063362</v>
      </c>
      <c r="Y129">
        <f t="shared" si="40"/>
        <v>0.60638166095324331</v>
      </c>
      <c r="Z129" s="81">
        <f t="shared" si="41"/>
        <v>40.394228040143275</v>
      </c>
    </row>
    <row r="130" spans="1:26" hidden="1" x14ac:dyDescent="0.35">
      <c r="A130" s="36">
        <v>0.6</v>
      </c>
      <c r="B130" s="8">
        <v>0.01</v>
      </c>
      <c r="C130" s="5">
        <f t="shared" si="42"/>
        <v>1</v>
      </c>
      <c r="D130" s="2">
        <v>100</v>
      </c>
      <c r="E130" s="5">
        <f t="shared" si="43"/>
        <v>101</v>
      </c>
      <c r="F130" s="5">
        <f t="shared" si="44"/>
        <v>1</v>
      </c>
      <c r="G130" s="8">
        <f t="shared" si="45"/>
        <v>0.23936536824085961</v>
      </c>
      <c r="H130" s="5">
        <f t="shared" si="46"/>
        <v>23.936536824085959</v>
      </c>
      <c r="I130" s="80">
        <f t="shared" si="30"/>
        <v>23.203358226768565</v>
      </c>
      <c r="J130" s="80">
        <f t="shared" si="47"/>
        <v>0.96936989662683204</v>
      </c>
      <c r="K130" s="2">
        <f t="shared" si="31"/>
        <v>0.32145028424602784</v>
      </c>
      <c r="L130" s="5">
        <f t="shared" si="32"/>
        <v>0.6</v>
      </c>
      <c r="M130" s="80">
        <f t="shared" si="28"/>
        <v>-0.27854971575397214</v>
      </c>
      <c r="N130" s="80">
        <f t="shared" si="33"/>
        <v>1.6583884755280155E-2</v>
      </c>
      <c r="O130" s="6">
        <f t="shared" si="34"/>
        <v>0</v>
      </c>
      <c r="P130" s="6">
        <f t="shared" si="35"/>
        <v>0</v>
      </c>
      <c r="Q130" s="6">
        <f t="shared" si="36"/>
        <v>0</v>
      </c>
      <c r="R130" s="6">
        <f t="shared" si="37"/>
        <v>0</v>
      </c>
      <c r="S130" s="6">
        <f t="shared" si="38"/>
        <v>0.36</v>
      </c>
      <c r="T130" s="83">
        <f t="shared" si="39"/>
        <v>-3.8549715753972147E-2</v>
      </c>
      <c r="W130" s="80"/>
      <c r="X130" s="81">
        <f t="shared" si="29"/>
        <v>0.31658388475528015</v>
      </c>
      <c r="Y130">
        <f t="shared" si="40"/>
        <v>0.62422031731090089</v>
      </c>
      <c r="Z130" s="81">
        <f t="shared" si="41"/>
        <v>40.394228040143275</v>
      </c>
    </row>
    <row r="131" spans="1:26" hidden="1" x14ac:dyDescent="0.35">
      <c r="A131" s="36">
        <v>0.01</v>
      </c>
      <c r="B131" s="8">
        <v>1.4999999999999999E-2</v>
      </c>
      <c r="C131" s="5">
        <f t="shared" si="42"/>
        <v>1.5</v>
      </c>
      <c r="D131" s="2">
        <v>100</v>
      </c>
      <c r="E131" s="5">
        <f t="shared" si="43"/>
        <v>101.5</v>
      </c>
      <c r="F131" s="5">
        <f t="shared" si="44"/>
        <v>1.5</v>
      </c>
      <c r="G131" s="8">
        <f t="shared" si="45"/>
        <v>3.9894228040143268E-3</v>
      </c>
      <c r="H131" s="5">
        <f t="shared" si="46"/>
        <v>0.39894228040143265</v>
      </c>
      <c r="I131" s="80">
        <f t="shared" si="30"/>
        <v>3.0283352539910879E-2</v>
      </c>
      <c r="J131" s="80">
        <f t="shared" si="47"/>
        <v>7.5909107727159142E-2</v>
      </c>
      <c r="K131" s="2">
        <f t="shared" si="31"/>
        <v>5.8179705819873294E-3</v>
      </c>
      <c r="L131" s="5">
        <f t="shared" si="32"/>
        <v>0.01</v>
      </c>
      <c r="M131" s="80">
        <f t="shared" si="28"/>
        <v>-4.1820294180126708E-3</v>
      </c>
      <c r="N131" s="80">
        <f t="shared" si="33"/>
        <v>1.4888612493750559</v>
      </c>
      <c r="O131" s="6">
        <f t="shared" si="34"/>
        <v>0</v>
      </c>
      <c r="P131" s="6">
        <f t="shared" si="35"/>
        <v>0</v>
      </c>
      <c r="Q131" s="6">
        <f t="shared" si="36"/>
        <v>0</v>
      </c>
      <c r="R131" s="6">
        <f t="shared" si="37"/>
        <v>0</v>
      </c>
      <c r="S131" s="6">
        <f t="shared" si="38"/>
        <v>9.9500000000000005E-3</v>
      </c>
      <c r="T131" s="83">
        <f t="shared" si="39"/>
        <v>-4.1320294180126711E-3</v>
      </c>
      <c r="W131" s="80"/>
      <c r="X131" s="81">
        <f t="shared" si="29"/>
        <v>1.4938612493750558</v>
      </c>
      <c r="Y131">
        <f t="shared" si="40"/>
        <v>0.93239405569543776</v>
      </c>
      <c r="Z131" s="81">
        <f t="shared" si="41"/>
        <v>40.394228040143275</v>
      </c>
    </row>
    <row r="132" spans="1:26" hidden="1" x14ac:dyDescent="0.35">
      <c r="A132" s="36">
        <v>0.02</v>
      </c>
      <c r="B132" s="8">
        <v>1.4999999999999999E-2</v>
      </c>
      <c r="C132" s="5">
        <f t="shared" si="42"/>
        <v>1.5</v>
      </c>
      <c r="D132" s="2">
        <v>100</v>
      </c>
      <c r="E132" s="5">
        <f t="shared" si="43"/>
        <v>101.5</v>
      </c>
      <c r="F132" s="5">
        <f t="shared" si="44"/>
        <v>1.5</v>
      </c>
      <c r="G132" s="8">
        <f t="shared" si="45"/>
        <v>7.9788456080286535E-3</v>
      </c>
      <c r="H132" s="5">
        <f t="shared" si="46"/>
        <v>0.79788456080286529</v>
      </c>
      <c r="I132" s="80">
        <f t="shared" si="30"/>
        <v>0.2668389571408909</v>
      </c>
      <c r="J132" s="80">
        <f t="shared" si="47"/>
        <v>0.33443303737120345</v>
      </c>
      <c r="K132" s="2">
        <f t="shared" si="31"/>
        <v>1.369464547433988E-2</v>
      </c>
      <c r="L132" s="5">
        <f t="shared" si="32"/>
        <v>0.02</v>
      </c>
      <c r="M132" s="80">
        <f t="shared" si="28"/>
        <v>-6.3053545256601205E-3</v>
      </c>
      <c r="N132" s="80">
        <f t="shared" si="33"/>
        <v>0.74443062468752796</v>
      </c>
      <c r="O132" s="6">
        <f t="shared" si="34"/>
        <v>0</v>
      </c>
      <c r="P132" s="6">
        <f t="shared" si="35"/>
        <v>0</v>
      </c>
      <c r="Q132" s="6">
        <f t="shared" si="36"/>
        <v>0</v>
      </c>
      <c r="R132" s="6">
        <f t="shared" si="37"/>
        <v>0</v>
      </c>
      <c r="S132" s="6">
        <f t="shared" si="38"/>
        <v>1.9800000000000002E-2</v>
      </c>
      <c r="T132" s="83">
        <f t="shared" si="39"/>
        <v>-6.1053545256601217E-3</v>
      </c>
      <c r="W132" s="80"/>
      <c r="X132" s="81">
        <f t="shared" si="29"/>
        <v>0.75443062468752797</v>
      </c>
      <c r="Y132">
        <f t="shared" si="40"/>
        <v>0.77470465586636184</v>
      </c>
      <c r="Z132" s="81">
        <f t="shared" si="41"/>
        <v>40.394228040143275</v>
      </c>
    </row>
    <row r="133" spans="1:26" hidden="1" x14ac:dyDescent="0.35">
      <c r="A133" s="36">
        <v>0.05</v>
      </c>
      <c r="B133" s="8">
        <v>1.4999999999999999E-2</v>
      </c>
      <c r="C133" s="5">
        <f t="shared" si="42"/>
        <v>1.5</v>
      </c>
      <c r="D133" s="2">
        <v>100</v>
      </c>
      <c r="E133" s="5">
        <f t="shared" si="43"/>
        <v>101.5</v>
      </c>
      <c r="F133" s="5">
        <f t="shared" si="44"/>
        <v>1.5</v>
      </c>
      <c r="G133" s="8">
        <f t="shared" si="45"/>
        <v>1.9947114020071637E-2</v>
      </c>
      <c r="H133" s="5">
        <f t="shared" si="46"/>
        <v>1.9947114020071637</v>
      </c>
      <c r="I133" s="80">
        <f t="shared" si="30"/>
        <v>1.3478772937926564</v>
      </c>
      <c r="J133" s="80">
        <f t="shared" si="47"/>
        <v>0.67572546707075765</v>
      </c>
      <c r="K133" s="2">
        <f t="shared" si="31"/>
        <v>3.82683910988885E-2</v>
      </c>
      <c r="L133" s="5">
        <f t="shared" si="32"/>
        <v>0.05</v>
      </c>
      <c r="M133" s="80">
        <f t="shared" si="28"/>
        <v>-1.1731608901111502E-2</v>
      </c>
      <c r="N133" s="80">
        <f t="shared" si="33"/>
        <v>0.29777224987501116</v>
      </c>
      <c r="O133" s="6">
        <f t="shared" si="34"/>
        <v>0</v>
      </c>
      <c r="P133" s="6">
        <f t="shared" si="35"/>
        <v>0</v>
      </c>
      <c r="Q133" s="6">
        <f t="shared" si="36"/>
        <v>0</v>
      </c>
      <c r="R133" s="6">
        <f t="shared" si="37"/>
        <v>0</v>
      </c>
      <c r="S133" s="6">
        <f t="shared" si="38"/>
        <v>4.8750000000000002E-2</v>
      </c>
      <c r="T133" s="83">
        <f t="shared" si="39"/>
        <v>-1.0481608901111501E-2</v>
      </c>
      <c r="W133" s="80"/>
      <c r="X133" s="81">
        <f t="shared" si="29"/>
        <v>0.32277224987501119</v>
      </c>
      <c r="Y133">
        <f t="shared" si="40"/>
        <v>0.62656613476650302</v>
      </c>
      <c r="Z133" s="81">
        <f t="shared" si="41"/>
        <v>40.394228040143275</v>
      </c>
    </row>
    <row r="134" spans="1:26" hidden="1" x14ac:dyDescent="0.35">
      <c r="A134" s="36">
        <v>0.08</v>
      </c>
      <c r="B134" s="8">
        <v>1.4999999999999999E-2</v>
      </c>
      <c r="C134" s="5">
        <f t="shared" si="42"/>
        <v>1.5</v>
      </c>
      <c r="D134" s="2">
        <v>100</v>
      </c>
      <c r="E134" s="5">
        <f t="shared" si="43"/>
        <v>101.5</v>
      </c>
      <c r="F134" s="5">
        <f t="shared" si="44"/>
        <v>1.5</v>
      </c>
      <c r="G134" s="8">
        <f t="shared" si="45"/>
        <v>3.1915382432114614E-2</v>
      </c>
      <c r="H134" s="5">
        <f t="shared" si="46"/>
        <v>3.1915382432114612</v>
      </c>
      <c r="I134" s="80">
        <f t="shared" si="30"/>
        <v>2.5200973580155406</v>
      </c>
      <c r="J134" s="80">
        <f t="shared" si="47"/>
        <v>0.78961841155307977</v>
      </c>
      <c r="K134" s="2">
        <f t="shared" si="31"/>
        <v>6.3504032203872032E-2</v>
      </c>
      <c r="L134" s="5">
        <f t="shared" si="32"/>
        <v>0.08</v>
      </c>
      <c r="M134" s="80">
        <f t="shared" si="28"/>
        <v>-1.6495967796127969E-2</v>
      </c>
      <c r="N134" s="80">
        <f t="shared" si="33"/>
        <v>0.18610765617188199</v>
      </c>
      <c r="O134" s="6">
        <f t="shared" si="34"/>
        <v>0</v>
      </c>
      <c r="P134" s="6">
        <f t="shared" si="35"/>
        <v>0</v>
      </c>
      <c r="Q134" s="6">
        <f t="shared" si="36"/>
        <v>0</v>
      </c>
      <c r="R134" s="6">
        <f t="shared" si="37"/>
        <v>0</v>
      </c>
      <c r="S134" s="6">
        <f t="shared" si="38"/>
        <v>7.6800000000000007E-2</v>
      </c>
      <c r="T134" s="83">
        <f t="shared" si="39"/>
        <v>-1.3295967796127975E-2</v>
      </c>
      <c r="W134" s="80"/>
      <c r="X134" s="81">
        <f t="shared" si="29"/>
        <v>0.226107656171882</v>
      </c>
      <c r="Y134">
        <f t="shared" si="40"/>
        <v>0.58944115499088046</v>
      </c>
      <c r="Z134" s="81">
        <f t="shared" si="41"/>
        <v>40.394228040143275</v>
      </c>
    </row>
    <row r="135" spans="1:26" hidden="1" x14ac:dyDescent="0.35">
      <c r="A135" s="36">
        <v>0.1</v>
      </c>
      <c r="B135" s="8">
        <v>1.4999999999999999E-2</v>
      </c>
      <c r="C135" s="5">
        <f t="shared" si="42"/>
        <v>1.5</v>
      </c>
      <c r="D135" s="2">
        <v>100</v>
      </c>
      <c r="E135" s="5">
        <f t="shared" si="43"/>
        <v>101.5</v>
      </c>
      <c r="F135" s="5">
        <f t="shared" si="44"/>
        <v>1.5</v>
      </c>
      <c r="G135" s="8">
        <f t="shared" si="45"/>
        <v>3.9894228040143274E-2</v>
      </c>
      <c r="H135" s="5">
        <f t="shared" si="46"/>
        <v>3.9894228040143274</v>
      </c>
      <c r="I135" s="80">
        <f t="shared" si="30"/>
        <v>3.3120792428959831</v>
      </c>
      <c r="J135" s="80">
        <f t="shared" si="47"/>
        <v>0.83021514780615069</v>
      </c>
      <c r="K135" s="2">
        <f t="shared" si="31"/>
        <v>8.0614650137302304E-2</v>
      </c>
      <c r="L135" s="5">
        <f t="shared" si="32"/>
        <v>0.1</v>
      </c>
      <c r="M135" s="80">
        <f t="shared" si="28"/>
        <v>-1.9385349862697701E-2</v>
      </c>
      <c r="N135" s="80">
        <f t="shared" si="33"/>
        <v>0.14888612493750558</v>
      </c>
      <c r="O135" s="6">
        <f t="shared" si="34"/>
        <v>0</v>
      </c>
      <c r="P135" s="6">
        <f t="shared" si="35"/>
        <v>0</v>
      </c>
      <c r="Q135" s="6">
        <f t="shared" si="36"/>
        <v>0</v>
      </c>
      <c r="R135" s="6">
        <f t="shared" si="37"/>
        <v>0</v>
      </c>
      <c r="S135" s="6">
        <f t="shared" si="38"/>
        <v>9.5000000000000001E-2</v>
      </c>
      <c r="T135" s="83">
        <f t="shared" si="39"/>
        <v>-1.4385349862697697E-2</v>
      </c>
      <c r="W135" s="80"/>
      <c r="X135" s="81">
        <f t="shared" si="29"/>
        <v>0.19888612493750557</v>
      </c>
      <c r="Y135">
        <f t="shared" si="40"/>
        <v>0.57882408830303822</v>
      </c>
      <c r="Z135" s="81">
        <f t="shared" si="41"/>
        <v>40.394228040143275</v>
      </c>
    </row>
    <row r="136" spans="1:26" hidden="1" x14ac:dyDescent="0.35">
      <c r="A136" s="36">
        <v>0.12</v>
      </c>
      <c r="B136" s="8">
        <v>1.4999999999999999E-2</v>
      </c>
      <c r="C136" s="5">
        <f t="shared" si="42"/>
        <v>1.5</v>
      </c>
      <c r="D136" s="2">
        <v>100</v>
      </c>
      <c r="E136" s="5">
        <f t="shared" si="43"/>
        <v>101.5</v>
      </c>
      <c r="F136" s="5">
        <f t="shared" si="44"/>
        <v>1.5</v>
      </c>
      <c r="G136" s="8">
        <f t="shared" si="45"/>
        <v>4.7873073648171921E-2</v>
      </c>
      <c r="H136" s="5">
        <f t="shared" si="46"/>
        <v>4.7873073648171918</v>
      </c>
      <c r="I136" s="80">
        <f t="shared" si="30"/>
        <v>4.107328515477441</v>
      </c>
      <c r="J136" s="80">
        <f t="shared" si="47"/>
        <v>0.85796214917449398</v>
      </c>
      <c r="K136" s="2">
        <f t="shared" si="31"/>
        <v>9.7914233831402048E-2</v>
      </c>
      <c r="L136" s="5">
        <f t="shared" si="32"/>
        <v>0.12</v>
      </c>
      <c r="M136" s="80">
        <f t="shared" si="28"/>
        <v>-2.2085766168597948E-2</v>
      </c>
      <c r="N136" s="80">
        <f t="shared" si="33"/>
        <v>0.12407177078125466</v>
      </c>
      <c r="O136" s="6">
        <f t="shared" si="34"/>
        <v>0</v>
      </c>
      <c r="P136" s="6">
        <f t="shared" si="35"/>
        <v>0</v>
      </c>
      <c r="Q136" s="6">
        <f t="shared" si="36"/>
        <v>0</v>
      </c>
      <c r="R136" s="6">
        <f t="shared" si="37"/>
        <v>0</v>
      </c>
      <c r="S136" s="6">
        <f t="shared" si="38"/>
        <v>0.1128</v>
      </c>
      <c r="T136" s="83">
        <f t="shared" si="39"/>
        <v>-1.488576616859795E-2</v>
      </c>
      <c r="W136" s="80"/>
      <c r="X136" s="81">
        <f t="shared" si="29"/>
        <v>0.18407177078125464</v>
      </c>
      <c r="Y136">
        <f t="shared" si="40"/>
        <v>0.57302142414228818</v>
      </c>
      <c r="Z136" s="81">
        <f t="shared" si="41"/>
        <v>40.394228040143275</v>
      </c>
    </row>
    <row r="137" spans="1:26" hidden="1" x14ac:dyDescent="0.35">
      <c r="A137" s="36">
        <v>0.15</v>
      </c>
      <c r="B137" s="8">
        <v>1.4999999999999999E-2</v>
      </c>
      <c r="C137" s="5">
        <f t="shared" si="42"/>
        <v>1.5</v>
      </c>
      <c r="D137" s="2">
        <v>100</v>
      </c>
      <c r="E137" s="5">
        <f t="shared" si="43"/>
        <v>101.5</v>
      </c>
      <c r="F137" s="5">
        <f t="shared" si="44"/>
        <v>1.5</v>
      </c>
      <c r="G137" s="8">
        <f t="shared" si="45"/>
        <v>5.9841342060214901E-2</v>
      </c>
      <c r="H137" s="5">
        <f t="shared" si="46"/>
        <v>5.9841342060214897</v>
      </c>
      <c r="I137" s="80">
        <f t="shared" si="30"/>
        <v>5.3029584254042277</v>
      </c>
      <c r="J137" s="80">
        <f t="shared" si="47"/>
        <v>0.88616970188739519</v>
      </c>
      <c r="K137" s="2">
        <f t="shared" si="31"/>
        <v>0.12412408775849987</v>
      </c>
      <c r="L137" s="5">
        <f t="shared" si="32"/>
        <v>0.15</v>
      </c>
      <c r="M137" s="80">
        <f t="shared" si="28"/>
        <v>-2.5875912241500126E-2</v>
      </c>
      <c r="N137" s="80">
        <f t="shared" si="33"/>
        <v>9.925741662500373E-2</v>
      </c>
      <c r="O137" s="6">
        <f t="shared" si="34"/>
        <v>0</v>
      </c>
      <c r="P137" s="6">
        <f t="shared" si="35"/>
        <v>0</v>
      </c>
      <c r="Q137" s="6">
        <f t="shared" si="36"/>
        <v>0</v>
      </c>
      <c r="R137" s="6">
        <f t="shared" si="37"/>
        <v>0</v>
      </c>
      <c r="S137" s="6">
        <f t="shared" si="38"/>
        <v>0.13874999999999998</v>
      </c>
      <c r="T137" s="83">
        <f t="shared" si="39"/>
        <v>-1.4625912241500116E-2</v>
      </c>
      <c r="W137" s="80"/>
      <c r="X137" s="81">
        <f t="shared" si="29"/>
        <v>0.17425741662500371</v>
      </c>
      <c r="Y137">
        <f t="shared" si="40"/>
        <v>0.56916841811377217</v>
      </c>
      <c r="Z137" s="81">
        <f t="shared" si="41"/>
        <v>40.394228040143275</v>
      </c>
    </row>
    <row r="138" spans="1:26" hidden="1" x14ac:dyDescent="0.35">
      <c r="A138" s="36">
        <v>0.2</v>
      </c>
      <c r="B138" s="8">
        <v>1.4999999999999999E-2</v>
      </c>
      <c r="C138" s="5">
        <f t="shared" si="42"/>
        <v>1.5</v>
      </c>
      <c r="D138" s="2">
        <v>100</v>
      </c>
      <c r="E138" s="5">
        <f t="shared" si="43"/>
        <v>101.5</v>
      </c>
      <c r="F138" s="5">
        <f t="shared" si="44"/>
        <v>1.5</v>
      </c>
      <c r="G138" s="8">
        <f t="shared" si="45"/>
        <v>7.9788456080286549E-2</v>
      </c>
      <c r="H138" s="5">
        <f t="shared" si="46"/>
        <v>7.9788456080286547</v>
      </c>
      <c r="I138" s="80">
        <f t="shared" si="30"/>
        <v>7.2974616521011697</v>
      </c>
      <c r="J138" s="80">
        <f t="shared" si="47"/>
        <v>0.91460118550961211</v>
      </c>
      <c r="K138" s="2">
        <f t="shared" si="31"/>
        <v>0.16803489725243215</v>
      </c>
      <c r="L138" s="5">
        <f t="shared" si="32"/>
        <v>0.2</v>
      </c>
      <c r="M138" s="80">
        <f t="shared" si="28"/>
        <v>-3.1965102747567864E-2</v>
      </c>
      <c r="N138" s="80">
        <f t="shared" si="33"/>
        <v>7.4443062468752791E-2</v>
      </c>
      <c r="O138" s="6">
        <f t="shared" si="34"/>
        <v>0</v>
      </c>
      <c r="P138" s="6">
        <f t="shared" si="35"/>
        <v>0</v>
      </c>
      <c r="Q138" s="6">
        <f t="shared" si="36"/>
        <v>0</v>
      </c>
      <c r="R138" s="6">
        <f t="shared" si="37"/>
        <v>0</v>
      </c>
      <c r="S138" s="6">
        <f t="shared" si="38"/>
        <v>0.18</v>
      </c>
      <c r="T138" s="83">
        <f t="shared" si="39"/>
        <v>-1.1965102747567846E-2</v>
      </c>
      <c r="W138" s="80"/>
      <c r="X138" s="81">
        <f t="shared" si="29"/>
        <v>0.1744430624687528</v>
      </c>
      <c r="Y138">
        <f t="shared" si="40"/>
        <v>0.56924136293306382</v>
      </c>
      <c r="Z138" s="81">
        <f t="shared" si="41"/>
        <v>40.394228040143275</v>
      </c>
    </row>
    <row r="139" spans="1:26" hidden="1" x14ac:dyDescent="0.35">
      <c r="A139" s="36">
        <v>0.25</v>
      </c>
      <c r="B139" s="8">
        <v>1.4999999999999999E-2</v>
      </c>
      <c r="C139" s="5">
        <f t="shared" si="42"/>
        <v>1.5</v>
      </c>
      <c r="D139" s="2">
        <v>100</v>
      </c>
      <c r="E139" s="5">
        <f t="shared" si="43"/>
        <v>101.5</v>
      </c>
      <c r="F139" s="5">
        <f t="shared" si="44"/>
        <v>1.5</v>
      </c>
      <c r="G139" s="8">
        <f t="shared" si="45"/>
        <v>9.9735570100358176E-2</v>
      </c>
      <c r="H139" s="5">
        <f t="shared" si="46"/>
        <v>9.9735570100358171</v>
      </c>
      <c r="I139" s="80">
        <f t="shared" si="30"/>
        <v>9.289927419659044</v>
      </c>
      <c r="J139" s="80">
        <f t="shared" si="47"/>
        <v>0.93145578957548691</v>
      </c>
      <c r="K139" s="2">
        <f t="shared" si="31"/>
        <v>0.21124811247074846</v>
      </c>
      <c r="L139" s="5">
        <f t="shared" si="32"/>
        <v>0.25</v>
      </c>
      <c r="M139" s="80">
        <f t="shared" si="28"/>
        <v>-3.8751887529251544E-2</v>
      </c>
      <c r="N139" s="80">
        <f t="shared" si="33"/>
        <v>5.9554449975002234E-2</v>
      </c>
      <c r="O139" s="6">
        <f t="shared" si="34"/>
        <v>0</v>
      </c>
      <c r="P139" s="6">
        <f t="shared" si="35"/>
        <v>0</v>
      </c>
      <c r="Q139" s="6">
        <f t="shared" si="36"/>
        <v>0</v>
      </c>
      <c r="R139" s="6">
        <f t="shared" si="37"/>
        <v>0</v>
      </c>
      <c r="S139" s="6">
        <f t="shared" si="38"/>
        <v>0.21875</v>
      </c>
      <c r="T139" s="83">
        <f t="shared" si="39"/>
        <v>-7.5018875292515441E-3</v>
      </c>
      <c r="W139" s="80"/>
      <c r="X139" s="81">
        <f t="shared" si="29"/>
        <v>0.18455444997500223</v>
      </c>
      <c r="Y139">
        <f t="shared" si="40"/>
        <v>0.57321074212204415</v>
      </c>
      <c r="Z139" s="81">
        <f t="shared" si="41"/>
        <v>40.394228040143275</v>
      </c>
    </row>
    <row r="140" spans="1:26" hidden="1" x14ac:dyDescent="0.35">
      <c r="A140" s="36">
        <v>0.3</v>
      </c>
      <c r="B140" s="8">
        <v>1.4999999999999999E-2</v>
      </c>
      <c r="C140" s="5">
        <f t="shared" si="42"/>
        <v>1.5</v>
      </c>
      <c r="D140" s="2">
        <v>100</v>
      </c>
      <c r="E140" s="5">
        <f t="shared" si="43"/>
        <v>101.5</v>
      </c>
      <c r="F140" s="5">
        <f t="shared" si="44"/>
        <v>1.5</v>
      </c>
      <c r="G140" s="8">
        <f t="shared" si="45"/>
        <v>0.1196826841204298</v>
      </c>
      <c r="H140" s="5">
        <f t="shared" si="46"/>
        <v>11.968268412042979</v>
      </c>
      <c r="I140" s="80">
        <f t="shared" si="30"/>
        <v>11.277645056574599</v>
      </c>
      <c r="J140" s="80">
        <f t="shared" si="47"/>
        <v>0.94229546566874733</v>
      </c>
      <c r="K140" s="2">
        <f t="shared" si="31"/>
        <v>0.25237061916820014</v>
      </c>
      <c r="L140" s="5">
        <f t="shared" si="32"/>
        <v>0.3</v>
      </c>
      <c r="M140" s="80">
        <f t="shared" si="28"/>
        <v>-4.762938083179985E-2</v>
      </c>
      <c r="N140" s="80">
        <f t="shared" si="33"/>
        <v>4.9628708312501865E-2</v>
      </c>
      <c r="O140" s="6">
        <f t="shared" si="34"/>
        <v>0</v>
      </c>
      <c r="P140" s="6">
        <f t="shared" si="35"/>
        <v>0</v>
      </c>
      <c r="Q140" s="6">
        <f t="shared" si="36"/>
        <v>0</v>
      </c>
      <c r="R140" s="6">
        <f t="shared" si="37"/>
        <v>0</v>
      </c>
      <c r="S140" s="6">
        <f t="shared" si="38"/>
        <v>0.255</v>
      </c>
      <c r="T140" s="83">
        <f t="shared" si="39"/>
        <v>-2.6293808317998657E-3</v>
      </c>
      <c r="W140" s="80"/>
      <c r="X140" s="81">
        <f t="shared" si="29"/>
        <v>0.19962870831250185</v>
      </c>
      <c r="Y140">
        <f t="shared" si="40"/>
        <v>0.57911451314975826</v>
      </c>
      <c r="Z140" s="81">
        <f t="shared" si="41"/>
        <v>40.394228040143275</v>
      </c>
    </row>
    <row r="141" spans="1:26" hidden="1" x14ac:dyDescent="0.35">
      <c r="A141" s="36">
        <v>0.35</v>
      </c>
      <c r="B141" s="8">
        <v>1.4999999999999999E-2</v>
      </c>
      <c r="C141" s="5">
        <f t="shared" si="42"/>
        <v>1.5</v>
      </c>
      <c r="D141" s="2">
        <v>100</v>
      </c>
      <c r="E141" s="5">
        <f t="shared" si="43"/>
        <v>101.5</v>
      </c>
      <c r="F141" s="5">
        <f t="shared" si="44"/>
        <v>1.5</v>
      </c>
      <c r="G141" s="8">
        <f t="shared" si="45"/>
        <v>0.13962979814050144</v>
      </c>
      <c r="H141" s="5">
        <f t="shared" si="46"/>
        <v>13.962979814050144</v>
      </c>
      <c r="I141" s="80">
        <f t="shared" si="30"/>
        <v>13.258759479122126</v>
      </c>
      <c r="J141" s="80">
        <f t="shared" si="47"/>
        <v>0.94956518276855195</v>
      </c>
      <c r="K141" s="2">
        <f t="shared" si="31"/>
        <v>0.28984890294369359</v>
      </c>
      <c r="L141" s="5">
        <f t="shared" si="32"/>
        <v>0.35</v>
      </c>
      <c r="M141" s="80">
        <f t="shared" si="28"/>
        <v>-6.0151097056306391E-2</v>
      </c>
      <c r="N141" s="80">
        <f t="shared" si="33"/>
        <v>4.2538892839287315E-2</v>
      </c>
      <c r="O141" s="6">
        <f t="shared" si="34"/>
        <v>0</v>
      </c>
      <c r="P141" s="6">
        <f t="shared" si="35"/>
        <v>0</v>
      </c>
      <c r="Q141" s="6">
        <f t="shared" si="36"/>
        <v>0</v>
      </c>
      <c r="R141" s="6">
        <f t="shared" si="37"/>
        <v>0</v>
      </c>
      <c r="S141" s="6">
        <f t="shared" si="38"/>
        <v>0.28875000000000001</v>
      </c>
      <c r="T141" s="83">
        <f t="shared" si="39"/>
        <v>1.0989029436935804E-3</v>
      </c>
      <c r="W141" s="80"/>
      <c r="X141" s="81">
        <f t="shared" si="29"/>
        <v>0.21753889283928729</v>
      </c>
      <c r="Y141">
        <f t="shared" si="40"/>
        <v>0.58610579973985877</v>
      </c>
      <c r="Z141" s="81">
        <f t="shared" si="41"/>
        <v>40.394228040143275</v>
      </c>
    </row>
    <row r="142" spans="1:26" hidden="1" x14ac:dyDescent="0.35">
      <c r="A142" s="36">
        <v>0.4</v>
      </c>
      <c r="B142" s="8">
        <v>1.4999999999999999E-2</v>
      </c>
      <c r="C142" s="5">
        <f t="shared" si="42"/>
        <v>1.5</v>
      </c>
      <c r="D142" s="2">
        <v>100</v>
      </c>
      <c r="E142" s="5">
        <f t="shared" si="43"/>
        <v>101.5</v>
      </c>
      <c r="F142" s="5">
        <f t="shared" si="44"/>
        <v>1.5</v>
      </c>
      <c r="G142" s="8">
        <f t="shared" si="45"/>
        <v>0.1595769121605731</v>
      </c>
      <c r="H142" s="5">
        <f t="shared" si="46"/>
        <v>15.957691216057309</v>
      </c>
      <c r="I142" s="80">
        <f t="shared" si="30"/>
        <v>15.231746547298158</v>
      </c>
      <c r="J142" s="80">
        <f t="shared" si="47"/>
        <v>0.95450816418676687</v>
      </c>
      <c r="K142" s="2">
        <f t="shared" si="31"/>
        <v>0.32217129716529908</v>
      </c>
      <c r="L142" s="5">
        <f t="shared" si="32"/>
        <v>0.4</v>
      </c>
      <c r="M142" s="80">
        <f t="shared" si="28"/>
        <v>-7.7828702834700947E-2</v>
      </c>
      <c r="N142" s="80">
        <f t="shared" si="33"/>
        <v>3.7221531234376395E-2</v>
      </c>
      <c r="O142" s="6">
        <f t="shared" si="34"/>
        <v>0</v>
      </c>
      <c r="P142" s="6">
        <f t="shared" si="35"/>
        <v>0</v>
      </c>
      <c r="Q142" s="6">
        <f t="shared" si="36"/>
        <v>0</v>
      </c>
      <c r="R142" s="6">
        <f t="shared" si="37"/>
        <v>0</v>
      </c>
      <c r="S142" s="6">
        <f t="shared" si="38"/>
        <v>0.32</v>
      </c>
      <c r="T142" s="83">
        <f t="shared" si="39"/>
        <v>2.1712971652990687E-3</v>
      </c>
      <c r="W142" s="80"/>
      <c r="X142" s="81">
        <f t="shared" si="29"/>
        <v>0.23722153123437639</v>
      </c>
      <c r="Y142">
        <f t="shared" si="40"/>
        <v>0.59375753326333724</v>
      </c>
      <c r="Z142" s="81">
        <f t="shared" si="41"/>
        <v>40.394228040143275</v>
      </c>
    </row>
    <row r="143" spans="1:26" hidden="1" x14ac:dyDescent="0.35">
      <c r="A143" s="36">
        <v>0.5</v>
      </c>
      <c r="B143" s="8">
        <v>1.4999999999999999E-2</v>
      </c>
      <c r="C143" s="5">
        <f t="shared" si="42"/>
        <v>1.5</v>
      </c>
      <c r="D143" s="2">
        <v>100</v>
      </c>
      <c r="E143" s="5">
        <f t="shared" si="43"/>
        <v>101.5</v>
      </c>
      <c r="F143" s="5">
        <f t="shared" si="44"/>
        <v>1.5</v>
      </c>
      <c r="G143" s="8">
        <f t="shared" si="45"/>
        <v>0.19947114020071635</v>
      </c>
      <c r="H143" s="5">
        <f t="shared" si="46"/>
        <v>19.947114020071634</v>
      </c>
      <c r="I143" s="80">
        <f t="shared" si="30"/>
        <v>19.147959374849165</v>
      </c>
      <c r="J143" s="80">
        <f t="shared" si="47"/>
        <v>0.95993632740965307</v>
      </c>
      <c r="K143" s="2">
        <f t="shared" si="31"/>
        <v>0.36685290917936686</v>
      </c>
      <c r="L143" s="5">
        <f t="shared" si="32"/>
        <v>0.5</v>
      </c>
      <c r="M143" s="80">
        <f t="shared" si="28"/>
        <v>-0.13314709082063314</v>
      </c>
      <c r="N143" s="80">
        <f t="shared" si="33"/>
        <v>2.9777224987501117E-2</v>
      </c>
      <c r="O143" s="6">
        <f t="shared" si="34"/>
        <v>0</v>
      </c>
      <c r="P143" s="6">
        <f t="shared" si="35"/>
        <v>0</v>
      </c>
      <c r="Q143" s="6">
        <f t="shared" si="36"/>
        <v>0</v>
      </c>
      <c r="R143" s="6">
        <f t="shared" si="37"/>
        <v>0</v>
      </c>
      <c r="S143" s="6">
        <f t="shared" si="38"/>
        <v>0.375</v>
      </c>
      <c r="T143" s="83">
        <f t="shared" si="39"/>
        <v>-8.1470908206331405E-3</v>
      </c>
      <c r="W143" s="80"/>
      <c r="X143" s="81">
        <f t="shared" si="29"/>
        <v>0.27977722498750113</v>
      </c>
      <c r="Y143">
        <f t="shared" si="40"/>
        <v>0.61017578699461583</v>
      </c>
      <c r="Z143" s="81">
        <f t="shared" si="41"/>
        <v>40.394228040143275</v>
      </c>
    </row>
    <row r="144" spans="1:26" hidden="1" x14ac:dyDescent="0.35">
      <c r="A144" s="36">
        <v>0.6</v>
      </c>
      <c r="B144" s="8">
        <v>1.4999999999999999E-2</v>
      </c>
      <c r="C144" s="5">
        <f t="shared" si="42"/>
        <v>1.5</v>
      </c>
      <c r="D144" s="2">
        <v>100</v>
      </c>
      <c r="E144" s="5">
        <f t="shared" si="43"/>
        <v>101.5</v>
      </c>
      <c r="F144" s="5">
        <f t="shared" si="44"/>
        <v>1.5</v>
      </c>
      <c r="G144" s="8">
        <f t="shared" si="45"/>
        <v>0.23936536824085961</v>
      </c>
      <c r="H144" s="5">
        <f t="shared" si="46"/>
        <v>23.936536824085959</v>
      </c>
      <c r="I144" s="80">
        <f t="shared" si="30"/>
        <v>23.016249093349593</v>
      </c>
      <c r="J144" s="80">
        <f t="shared" si="47"/>
        <v>0.96155301255567038</v>
      </c>
      <c r="K144" s="2">
        <f t="shared" si="31"/>
        <v>0.38259859743682595</v>
      </c>
      <c r="L144" s="5">
        <f t="shared" si="32"/>
        <v>0.6</v>
      </c>
      <c r="M144" s="80">
        <f t="shared" si="28"/>
        <v>-0.21740140256317403</v>
      </c>
      <c r="N144" s="80">
        <f t="shared" si="33"/>
        <v>2.4814354156250933E-2</v>
      </c>
      <c r="O144" s="6">
        <f t="shared" si="34"/>
        <v>0</v>
      </c>
      <c r="P144" s="6">
        <f t="shared" si="35"/>
        <v>0</v>
      </c>
      <c r="Q144" s="6">
        <f t="shared" si="36"/>
        <v>0</v>
      </c>
      <c r="R144" s="6">
        <f t="shared" si="37"/>
        <v>0</v>
      </c>
      <c r="S144" s="6">
        <f t="shared" si="38"/>
        <v>0.42</v>
      </c>
      <c r="T144" s="83">
        <f t="shared" si="39"/>
        <v>-3.7401402563174035E-2</v>
      </c>
      <c r="W144" s="80"/>
      <c r="X144" s="81">
        <f t="shared" si="29"/>
        <v>0.32481435415625093</v>
      </c>
      <c r="Y144">
        <f t="shared" si="40"/>
        <v>0.62733920996532855</v>
      </c>
      <c r="Z144" s="81">
        <f t="shared" si="41"/>
        <v>40.394228040143275</v>
      </c>
    </row>
    <row r="145" spans="1:26" hidden="1" x14ac:dyDescent="0.35">
      <c r="A145" s="36">
        <v>0.01</v>
      </c>
      <c r="B145" s="8">
        <v>0.02</v>
      </c>
      <c r="C145" s="5">
        <f t="shared" si="42"/>
        <v>2</v>
      </c>
      <c r="D145" s="2">
        <v>100</v>
      </c>
      <c r="E145" s="5">
        <f t="shared" si="43"/>
        <v>102</v>
      </c>
      <c r="F145" s="5">
        <f t="shared" si="44"/>
        <v>2</v>
      </c>
      <c r="G145" s="8">
        <f t="shared" si="45"/>
        <v>3.9894228040143268E-3</v>
      </c>
      <c r="H145" s="5">
        <f t="shared" si="46"/>
        <v>0.39894228040143265</v>
      </c>
      <c r="I145" s="80">
        <f t="shared" si="30"/>
        <v>9.0393560172827847E-3</v>
      </c>
      <c r="J145" s="80">
        <f t="shared" si="47"/>
        <v>2.2658305377376901E-2</v>
      </c>
      <c r="K145" s="2">
        <f t="shared" si="31"/>
        <v>5.280906171352049E-3</v>
      </c>
      <c r="L145" s="5">
        <f t="shared" si="32"/>
        <v>0.01</v>
      </c>
      <c r="M145" s="80">
        <f t="shared" si="28"/>
        <v>-4.7190938286479512E-3</v>
      </c>
      <c r="N145" s="80">
        <f t="shared" si="33"/>
        <v>1.9802627296179729</v>
      </c>
      <c r="O145" s="6">
        <f t="shared" si="34"/>
        <v>0</v>
      </c>
      <c r="P145" s="6">
        <f t="shared" si="35"/>
        <v>0</v>
      </c>
      <c r="Q145" s="6">
        <f t="shared" si="36"/>
        <v>0</v>
      </c>
      <c r="R145" s="6">
        <f t="shared" si="37"/>
        <v>0</v>
      </c>
      <c r="S145" s="6">
        <f t="shared" si="38"/>
        <v>9.9600000000000001E-3</v>
      </c>
      <c r="T145" s="83">
        <f t="shared" si="39"/>
        <v>-4.6790938286479511E-3</v>
      </c>
      <c r="W145" s="80"/>
      <c r="X145" s="81">
        <f t="shared" si="29"/>
        <v>1.9852627296179728</v>
      </c>
      <c r="Y145">
        <f t="shared" si="40"/>
        <v>0.97644237582029059</v>
      </c>
      <c r="Z145" s="81">
        <f t="shared" si="41"/>
        <v>40.394228040143275</v>
      </c>
    </row>
    <row r="146" spans="1:26" hidden="1" x14ac:dyDescent="0.35">
      <c r="A146" s="36">
        <v>0.02</v>
      </c>
      <c r="B146" s="8">
        <v>0.02</v>
      </c>
      <c r="C146" s="5">
        <f t="shared" si="42"/>
        <v>2</v>
      </c>
      <c r="D146" s="2">
        <v>100</v>
      </c>
      <c r="E146" s="5">
        <f t="shared" si="43"/>
        <v>102</v>
      </c>
      <c r="F146" s="5">
        <f t="shared" si="44"/>
        <v>2</v>
      </c>
      <c r="G146" s="8">
        <f t="shared" si="45"/>
        <v>7.9788456080286535E-3</v>
      </c>
      <c r="H146" s="5">
        <f t="shared" si="46"/>
        <v>0.79788456080286529</v>
      </c>
      <c r="I146" s="80">
        <f t="shared" si="30"/>
        <v>0.17147003601955646</v>
      </c>
      <c r="J146" s="80">
        <f t="shared" si="47"/>
        <v>0.21490582026930818</v>
      </c>
      <c r="K146" s="2">
        <f t="shared" si="31"/>
        <v>1.3007661449452167E-2</v>
      </c>
      <c r="L146" s="5">
        <f t="shared" si="32"/>
        <v>0.02</v>
      </c>
      <c r="M146" s="80">
        <f t="shared" si="28"/>
        <v>-6.9923385505478337E-3</v>
      </c>
      <c r="N146" s="80">
        <f t="shared" si="33"/>
        <v>0.99013136480898645</v>
      </c>
      <c r="O146" s="6">
        <f t="shared" si="34"/>
        <v>0</v>
      </c>
      <c r="P146" s="6">
        <f t="shared" si="35"/>
        <v>0</v>
      </c>
      <c r="Q146" s="6">
        <f t="shared" si="36"/>
        <v>0</v>
      </c>
      <c r="R146" s="6">
        <f t="shared" si="37"/>
        <v>0</v>
      </c>
      <c r="S146" s="6">
        <f t="shared" si="38"/>
        <v>1.984E-2</v>
      </c>
      <c r="T146" s="83">
        <f t="shared" si="39"/>
        <v>-6.8323385505478333E-3</v>
      </c>
      <c r="W146" s="80"/>
      <c r="X146" s="81">
        <f t="shared" si="29"/>
        <v>1.0001313648089865</v>
      </c>
      <c r="Y146">
        <f t="shared" si="40"/>
        <v>0.84137653041874005</v>
      </c>
      <c r="Z146" s="81">
        <f t="shared" si="41"/>
        <v>40.394228040143275</v>
      </c>
    </row>
    <row r="147" spans="1:26" hidden="1" x14ac:dyDescent="0.35">
      <c r="A147" s="36">
        <v>0.05</v>
      </c>
      <c r="B147" s="8">
        <v>0.02</v>
      </c>
      <c r="C147" s="5">
        <f t="shared" si="42"/>
        <v>2</v>
      </c>
      <c r="D147" s="2">
        <v>100</v>
      </c>
      <c r="E147" s="5">
        <f t="shared" si="43"/>
        <v>102</v>
      </c>
      <c r="F147" s="5">
        <f t="shared" si="44"/>
        <v>2</v>
      </c>
      <c r="G147" s="8">
        <f t="shared" si="45"/>
        <v>1.9947114020071637E-2</v>
      </c>
      <c r="H147" s="5">
        <f t="shared" si="46"/>
        <v>1.9947114020071637</v>
      </c>
      <c r="I147" s="80">
        <f t="shared" si="30"/>
        <v>1.1703674131298101</v>
      </c>
      <c r="J147" s="80">
        <f t="shared" ref="J147:J158" si="48">I147/H147</f>
        <v>0.58673520989158456</v>
      </c>
      <c r="K147" s="2">
        <f t="shared" si="31"/>
        <v>3.7510668169985599E-2</v>
      </c>
      <c r="L147" s="5">
        <f t="shared" si="32"/>
        <v>0.05</v>
      </c>
      <c r="M147" s="80">
        <f t="shared" ref="M147:M210" si="49">K147-A147</f>
        <v>-1.2489331830014404E-2</v>
      </c>
      <c r="N147" s="80">
        <f t="shared" si="33"/>
        <v>0.39605254592359457</v>
      </c>
      <c r="O147" s="6">
        <f t="shared" si="34"/>
        <v>0</v>
      </c>
      <c r="P147" s="6">
        <f t="shared" si="35"/>
        <v>0</v>
      </c>
      <c r="Q147" s="6">
        <f t="shared" si="36"/>
        <v>0</v>
      </c>
      <c r="R147" s="6">
        <f t="shared" si="37"/>
        <v>0</v>
      </c>
      <c r="S147" s="6">
        <f t="shared" si="38"/>
        <v>4.9000000000000002E-2</v>
      </c>
      <c r="T147" s="83">
        <f t="shared" si="39"/>
        <v>-1.1489331830014403E-2</v>
      </c>
      <c r="W147" s="80"/>
      <c r="X147" s="81">
        <f t="shared" ref="X147:X210" si="50">N147+0.5*A147</f>
        <v>0.42105254592359459</v>
      </c>
      <c r="Y147">
        <f t="shared" si="40"/>
        <v>0.66314164385238072</v>
      </c>
      <c r="Z147" s="81">
        <f t="shared" si="41"/>
        <v>40.394228040143275</v>
      </c>
    </row>
    <row r="148" spans="1:26" hidden="1" x14ac:dyDescent="0.35">
      <c r="A148" s="36">
        <v>0.08</v>
      </c>
      <c r="B148" s="8">
        <v>0.02</v>
      </c>
      <c r="C148" s="5">
        <f t="shared" si="42"/>
        <v>2</v>
      </c>
      <c r="D148" s="2">
        <v>100</v>
      </c>
      <c r="E148" s="5">
        <f t="shared" si="43"/>
        <v>102</v>
      </c>
      <c r="F148" s="5">
        <f t="shared" si="44"/>
        <v>2</v>
      </c>
      <c r="G148" s="8">
        <f t="shared" si="45"/>
        <v>3.1915382432114614E-2</v>
      </c>
      <c r="H148" s="5">
        <f t="shared" si="46"/>
        <v>3.1915382432114612</v>
      </c>
      <c r="I148" s="80">
        <f t="shared" ref="I148:I211" si="51">($E148*NORMDIST(LN($E148/$D148)/$A148+0.5*$A148,0,1,TRUE)-$D148*NORMDIST(LN($E148/$D148)/$A148-0.5*$A148,0,1,TRUE)-$F148)</f>
        <v>2.3207650364626744</v>
      </c>
      <c r="J148" s="80">
        <f t="shared" si="48"/>
        <v>0.72716190739654807</v>
      </c>
      <c r="K148" s="2">
        <f t="shared" ref="K148:K158" si="52">-B148/LN(J148)</f>
        <v>6.2773433216862046E-2</v>
      </c>
      <c r="L148" s="5">
        <f t="shared" ref="L148:L211" si="53">A148</f>
        <v>0.08</v>
      </c>
      <c r="M148" s="80">
        <f t="shared" si="49"/>
        <v>-1.7226566783137956E-2</v>
      </c>
      <c r="N148" s="80">
        <f t="shared" ref="N148:N211" si="54">LN(1+B148)/A148</f>
        <v>0.24753284120224661</v>
      </c>
      <c r="O148" s="6">
        <f t="shared" ref="O148:O211" si="55">IF($B$10=B148,1,0)</f>
        <v>0</v>
      </c>
      <c r="P148" s="6">
        <f t="shared" ref="P148:P211" si="56">O148*A148</f>
        <v>0</v>
      </c>
      <c r="Q148" s="6">
        <f t="shared" ref="Q148:Q211" si="57">IF(ISNUMBER(K148),O148*M148,0)</f>
        <v>0</v>
      </c>
      <c r="R148" s="6">
        <f t="shared" ref="R148:R211" si="58">IF(O148=0,0,$C$10*A148^2)</f>
        <v>0</v>
      </c>
      <c r="S148" s="6">
        <f t="shared" ref="S148:S211" si="59">A148-1/($B$11*B148+0.5)*A148^2</f>
        <v>7.7439999999999995E-2</v>
      </c>
      <c r="T148" s="83">
        <f t="shared" ref="T148:T211" si="60">K148-S148</f>
        <v>-1.4666566783137949E-2</v>
      </c>
      <c r="W148" s="80"/>
      <c r="X148" s="81">
        <f t="shared" si="50"/>
        <v>0.28753284120224659</v>
      </c>
      <c r="Y148">
        <f t="shared" ref="Y148:Y211" si="61">NORMDIST(X148,0,1,TRUE)</f>
        <v>0.61314782028194004</v>
      </c>
      <c r="Z148" s="81">
        <f t="shared" si="41"/>
        <v>40.394228040143275</v>
      </c>
    </row>
    <row r="149" spans="1:26" hidden="1" x14ac:dyDescent="0.35">
      <c r="A149" s="36">
        <v>0.1</v>
      </c>
      <c r="B149" s="8">
        <v>0.02</v>
      </c>
      <c r="C149" s="5">
        <f t="shared" si="42"/>
        <v>2</v>
      </c>
      <c r="D149" s="2">
        <v>100</v>
      </c>
      <c r="E149" s="5">
        <f t="shared" si="43"/>
        <v>102</v>
      </c>
      <c r="F149" s="5">
        <f t="shared" si="44"/>
        <v>2</v>
      </c>
      <c r="G149" s="8">
        <f t="shared" si="45"/>
        <v>3.9894228040143274E-2</v>
      </c>
      <c r="H149" s="5">
        <f t="shared" si="46"/>
        <v>3.9894228040143274</v>
      </c>
      <c r="I149" s="80">
        <f t="shared" si="51"/>
        <v>3.1062836665495652</v>
      </c>
      <c r="J149" s="80">
        <f t="shared" si="48"/>
        <v>0.77862984675975933</v>
      </c>
      <c r="K149" s="2">
        <f t="shared" si="52"/>
        <v>7.9929818211565931E-2</v>
      </c>
      <c r="L149" s="5">
        <f t="shared" si="53"/>
        <v>0.1</v>
      </c>
      <c r="M149" s="80">
        <f t="shared" si="49"/>
        <v>-2.0070181788434074E-2</v>
      </c>
      <c r="N149" s="80">
        <f t="shared" si="54"/>
        <v>0.19802627296179728</v>
      </c>
      <c r="O149" s="6">
        <f t="shared" si="55"/>
        <v>0</v>
      </c>
      <c r="P149" s="6">
        <f t="shared" si="56"/>
        <v>0</v>
      </c>
      <c r="Q149" s="6">
        <f t="shared" si="57"/>
        <v>0</v>
      </c>
      <c r="R149" s="6">
        <f t="shared" si="58"/>
        <v>0</v>
      </c>
      <c r="S149" s="6">
        <f t="shared" si="59"/>
        <v>9.6000000000000002E-2</v>
      </c>
      <c r="T149" s="83">
        <f t="shared" si="60"/>
        <v>-1.6070181788434071E-2</v>
      </c>
      <c r="W149" s="80"/>
      <c r="X149" s="81">
        <f t="shared" si="50"/>
        <v>0.2480262729617973</v>
      </c>
      <c r="Y149">
        <f t="shared" si="61"/>
        <v>0.59794296054273144</v>
      </c>
      <c r="Z149" s="81">
        <f t="shared" si="41"/>
        <v>40.394228040143275</v>
      </c>
    </row>
    <row r="150" spans="1:26" hidden="1" x14ac:dyDescent="0.35">
      <c r="A150" s="36">
        <v>0.12</v>
      </c>
      <c r="B150" s="8">
        <v>0.02</v>
      </c>
      <c r="C150" s="5">
        <f t="shared" si="42"/>
        <v>2</v>
      </c>
      <c r="D150" s="2">
        <v>100</v>
      </c>
      <c r="E150" s="5">
        <f t="shared" si="43"/>
        <v>102</v>
      </c>
      <c r="F150" s="5">
        <f t="shared" si="44"/>
        <v>2</v>
      </c>
      <c r="G150" s="8">
        <f t="shared" si="45"/>
        <v>4.7873073648171921E-2</v>
      </c>
      <c r="H150" s="5">
        <f t="shared" si="46"/>
        <v>4.7873073648171918</v>
      </c>
      <c r="I150" s="80">
        <f t="shared" si="51"/>
        <v>3.8978474497810538</v>
      </c>
      <c r="J150" s="80">
        <f t="shared" si="48"/>
        <v>0.81420455231829414</v>
      </c>
      <c r="K150" s="2">
        <f t="shared" si="52"/>
        <v>9.7302932138174175E-2</v>
      </c>
      <c r="L150" s="5">
        <f t="shared" si="53"/>
        <v>0.12</v>
      </c>
      <c r="M150" s="80">
        <f t="shared" si="49"/>
        <v>-2.269706786182582E-2</v>
      </c>
      <c r="N150" s="80">
        <f t="shared" si="54"/>
        <v>0.16502189413483109</v>
      </c>
      <c r="O150" s="6">
        <f t="shared" si="55"/>
        <v>0</v>
      </c>
      <c r="P150" s="6">
        <f t="shared" si="56"/>
        <v>0</v>
      </c>
      <c r="Q150" s="6">
        <f t="shared" si="57"/>
        <v>0</v>
      </c>
      <c r="R150" s="6">
        <f t="shared" si="58"/>
        <v>0</v>
      </c>
      <c r="S150" s="6">
        <f t="shared" si="59"/>
        <v>0.11423999999999999</v>
      </c>
      <c r="T150" s="83">
        <f t="shared" si="60"/>
        <v>-1.6937067861825819E-2</v>
      </c>
      <c r="W150" s="80"/>
      <c r="X150" s="81">
        <f t="shared" si="50"/>
        <v>0.22502189413483109</v>
      </c>
      <c r="Y150">
        <f t="shared" si="61"/>
        <v>0.58901887902663153</v>
      </c>
      <c r="Z150" s="81">
        <f t="shared" si="41"/>
        <v>40.394228040143275</v>
      </c>
    </row>
    <row r="151" spans="1:26" hidden="1" x14ac:dyDescent="0.35">
      <c r="A151" s="36">
        <v>0.15</v>
      </c>
      <c r="B151" s="8">
        <v>0.02</v>
      </c>
      <c r="C151" s="5">
        <f t="shared" si="42"/>
        <v>2</v>
      </c>
      <c r="D151" s="2">
        <v>100</v>
      </c>
      <c r="E151" s="5">
        <f t="shared" si="43"/>
        <v>102</v>
      </c>
      <c r="F151" s="5">
        <f t="shared" si="44"/>
        <v>2</v>
      </c>
      <c r="G151" s="8">
        <f t="shared" si="45"/>
        <v>5.9841342060214901E-2</v>
      </c>
      <c r="H151" s="5">
        <f t="shared" si="46"/>
        <v>5.9841342060214897</v>
      </c>
      <c r="I151" s="80">
        <f t="shared" si="51"/>
        <v>5.0907569746179249</v>
      </c>
      <c r="J151" s="80">
        <f t="shared" si="48"/>
        <v>0.85070902479015076</v>
      </c>
      <c r="K151" s="2">
        <f t="shared" si="52"/>
        <v>0.12369721291868051</v>
      </c>
      <c r="L151" s="5">
        <f t="shared" si="53"/>
        <v>0.15</v>
      </c>
      <c r="M151" s="80">
        <f t="shared" si="49"/>
        <v>-2.6302787081319487E-2</v>
      </c>
      <c r="N151" s="80">
        <f t="shared" si="54"/>
        <v>0.13201751530786487</v>
      </c>
      <c r="O151" s="6">
        <f t="shared" si="55"/>
        <v>0</v>
      </c>
      <c r="P151" s="6">
        <f t="shared" si="56"/>
        <v>0</v>
      </c>
      <c r="Q151" s="6">
        <f t="shared" si="57"/>
        <v>0</v>
      </c>
      <c r="R151" s="6">
        <f t="shared" si="58"/>
        <v>0</v>
      </c>
      <c r="S151" s="6">
        <f t="shared" si="59"/>
        <v>0.14099999999999999</v>
      </c>
      <c r="T151" s="83">
        <f t="shared" si="60"/>
        <v>-1.7302787081319479E-2</v>
      </c>
      <c r="W151" s="80"/>
      <c r="X151" s="81">
        <f t="shared" si="50"/>
        <v>0.20701751530786489</v>
      </c>
      <c r="Y151">
        <f t="shared" si="61"/>
        <v>0.58200191022160552</v>
      </c>
      <c r="Z151" s="81">
        <f t="shared" si="41"/>
        <v>40.394228040143275</v>
      </c>
    </row>
    <row r="152" spans="1:26" hidden="1" x14ac:dyDescent="0.35">
      <c r="A152" s="36">
        <v>0.2</v>
      </c>
      <c r="B152" s="8">
        <v>0.02</v>
      </c>
      <c r="C152" s="5">
        <f t="shared" si="42"/>
        <v>2</v>
      </c>
      <c r="D152" s="2">
        <v>100</v>
      </c>
      <c r="E152" s="5">
        <f t="shared" si="43"/>
        <v>102</v>
      </c>
      <c r="F152" s="5">
        <f t="shared" si="44"/>
        <v>2</v>
      </c>
      <c r="G152" s="8">
        <f t="shared" si="45"/>
        <v>7.9788456080286549E-2</v>
      </c>
      <c r="H152" s="5">
        <f t="shared" si="46"/>
        <v>7.9788456080286547</v>
      </c>
      <c r="I152" s="80">
        <f t="shared" si="51"/>
        <v>7.0844942478298876</v>
      </c>
      <c r="J152" s="80">
        <f t="shared" si="48"/>
        <v>0.88790967965355383</v>
      </c>
      <c r="K152" s="2">
        <f t="shared" si="52"/>
        <v>0.16822944352437785</v>
      </c>
      <c r="L152" s="5">
        <f t="shared" si="53"/>
        <v>0.2</v>
      </c>
      <c r="M152" s="80">
        <f t="shared" si="49"/>
        <v>-3.1770556475622158E-2</v>
      </c>
      <c r="N152" s="80">
        <f t="shared" si="54"/>
        <v>9.9013136480898642E-2</v>
      </c>
      <c r="O152" s="6">
        <f t="shared" si="55"/>
        <v>0</v>
      </c>
      <c r="P152" s="6">
        <f t="shared" si="56"/>
        <v>0</v>
      </c>
      <c r="Q152" s="6">
        <f t="shared" si="57"/>
        <v>0</v>
      </c>
      <c r="R152" s="6">
        <f t="shared" si="58"/>
        <v>0</v>
      </c>
      <c r="S152" s="6">
        <f t="shared" si="59"/>
        <v>0.184</v>
      </c>
      <c r="T152" s="83">
        <f t="shared" si="60"/>
        <v>-1.5770556475622144E-2</v>
      </c>
      <c r="W152" s="80"/>
      <c r="X152" s="81">
        <f t="shared" si="50"/>
        <v>0.19901313648089863</v>
      </c>
      <c r="Y152">
        <f t="shared" si="61"/>
        <v>0.57887376564651749</v>
      </c>
      <c r="Z152" s="81">
        <f t="shared" si="41"/>
        <v>40.394228040143275</v>
      </c>
    </row>
    <row r="153" spans="1:26" hidden="1" x14ac:dyDescent="0.35">
      <c r="A153" s="36">
        <v>0.25</v>
      </c>
      <c r="B153" s="8">
        <v>0.02</v>
      </c>
      <c r="C153" s="5">
        <f t="shared" si="42"/>
        <v>2</v>
      </c>
      <c r="D153" s="2">
        <v>100</v>
      </c>
      <c r="E153" s="5">
        <f t="shared" si="43"/>
        <v>102</v>
      </c>
      <c r="F153" s="5">
        <f t="shared" si="44"/>
        <v>2</v>
      </c>
      <c r="G153" s="8">
        <f t="shared" si="45"/>
        <v>9.9735570100358176E-2</v>
      </c>
      <c r="H153" s="5">
        <f t="shared" si="46"/>
        <v>9.9735570100358171</v>
      </c>
      <c r="I153" s="80">
        <f t="shared" si="51"/>
        <v>9.0784592807847559</v>
      </c>
      <c r="J153" s="80">
        <f t="shared" si="48"/>
        <v>0.91025290893205146</v>
      </c>
      <c r="K153" s="2">
        <f t="shared" si="52"/>
        <v>0.21269175024315173</v>
      </c>
      <c r="L153" s="5">
        <f t="shared" si="53"/>
        <v>0.25</v>
      </c>
      <c r="M153" s="80">
        <f t="shared" si="49"/>
        <v>-3.7308249756848266E-2</v>
      </c>
      <c r="N153" s="80">
        <f t="shared" si="54"/>
        <v>7.9210509184718919E-2</v>
      </c>
      <c r="O153" s="6">
        <f t="shared" si="55"/>
        <v>0</v>
      </c>
      <c r="P153" s="6">
        <f t="shared" si="56"/>
        <v>0</v>
      </c>
      <c r="Q153" s="6">
        <f t="shared" si="57"/>
        <v>0</v>
      </c>
      <c r="R153" s="6">
        <f t="shared" si="58"/>
        <v>0</v>
      </c>
      <c r="S153" s="6">
        <f t="shared" si="59"/>
        <v>0.22500000000000001</v>
      </c>
      <c r="T153" s="83">
        <f t="shared" si="60"/>
        <v>-1.2308249756848272E-2</v>
      </c>
      <c r="W153" s="80"/>
      <c r="X153" s="81">
        <f t="shared" si="50"/>
        <v>0.20421050918471892</v>
      </c>
      <c r="Y153">
        <f t="shared" si="61"/>
        <v>0.58090550037076816</v>
      </c>
      <c r="Z153" s="81">
        <f t="shared" si="41"/>
        <v>40.394228040143275</v>
      </c>
    </row>
    <row r="154" spans="1:26" hidden="1" x14ac:dyDescent="0.35">
      <c r="A154" s="36">
        <v>0.3</v>
      </c>
      <c r="B154" s="8">
        <v>0.02</v>
      </c>
      <c r="C154" s="5">
        <f t="shared" si="42"/>
        <v>2</v>
      </c>
      <c r="D154" s="2">
        <v>100</v>
      </c>
      <c r="E154" s="5">
        <f t="shared" si="43"/>
        <v>102</v>
      </c>
      <c r="F154" s="5">
        <f t="shared" si="44"/>
        <v>2</v>
      </c>
      <c r="G154" s="8">
        <f t="shared" si="45"/>
        <v>0.1196826841204298</v>
      </c>
      <c r="H154" s="5">
        <f t="shared" si="46"/>
        <v>11.968268412042979</v>
      </c>
      <c r="I154" s="80">
        <f t="shared" si="51"/>
        <v>11.068803286156744</v>
      </c>
      <c r="J154" s="80">
        <f t="shared" si="48"/>
        <v>0.92484584278030091</v>
      </c>
      <c r="K154" s="2">
        <f t="shared" si="52"/>
        <v>0.25598947596653526</v>
      </c>
      <c r="L154" s="5">
        <f t="shared" si="53"/>
        <v>0.3</v>
      </c>
      <c r="M154" s="80">
        <f t="shared" si="49"/>
        <v>-4.4010524033464726E-2</v>
      </c>
      <c r="N154" s="80">
        <f t="shared" si="54"/>
        <v>6.6008757653932437E-2</v>
      </c>
      <c r="O154" s="6">
        <f t="shared" si="55"/>
        <v>0</v>
      </c>
      <c r="P154" s="6">
        <f t="shared" si="56"/>
        <v>0</v>
      </c>
      <c r="Q154" s="6">
        <f t="shared" si="57"/>
        <v>0</v>
      </c>
      <c r="R154" s="6">
        <f t="shared" si="58"/>
        <v>0</v>
      </c>
      <c r="S154" s="6">
        <f t="shared" si="59"/>
        <v>0.26400000000000001</v>
      </c>
      <c r="T154" s="83">
        <f t="shared" si="60"/>
        <v>-8.0105240334647498E-3</v>
      </c>
      <c r="W154" s="80"/>
      <c r="X154" s="81">
        <f t="shared" si="50"/>
        <v>0.21600875765393243</v>
      </c>
      <c r="Y154">
        <f t="shared" si="61"/>
        <v>0.5855095394527341</v>
      </c>
      <c r="Z154" s="81">
        <f t="shared" si="41"/>
        <v>40.394228040143275</v>
      </c>
    </row>
    <row r="155" spans="1:26" hidden="1" x14ac:dyDescent="0.35">
      <c r="A155" s="36">
        <v>0.35</v>
      </c>
      <c r="B155" s="8">
        <v>0.02</v>
      </c>
      <c r="C155" s="5">
        <f t="shared" si="42"/>
        <v>2</v>
      </c>
      <c r="D155" s="2">
        <v>100</v>
      </c>
      <c r="E155" s="5">
        <f t="shared" si="43"/>
        <v>102</v>
      </c>
      <c r="F155" s="5">
        <f t="shared" si="44"/>
        <v>2</v>
      </c>
      <c r="G155" s="8">
        <f t="shared" si="45"/>
        <v>0.13962979814050144</v>
      </c>
      <c r="H155" s="5">
        <f t="shared" si="46"/>
        <v>13.962979814050144</v>
      </c>
      <c r="I155" s="80">
        <f t="shared" si="51"/>
        <v>13.053179631054611</v>
      </c>
      <c r="J155" s="80">
        <f t="shared" si="48"/>
        <v>0.93484197534396973</v>
      </c>
      <c r="K155" s="2">
        <f t="shared" si="52"/>
        <v>0.29683378838816304</v>
      </c>
      <c r="L155" s="5">
        <f t="shared" si="53"/>
        <v>0.35</v>
      </c>
      <c r="M155" s="80">
        <f t="shared" si="49"/>
        <v>-5.3166211611836933E-2</v>
      </c>
      <c r="N155" s="80">
        <f t="shared" si="54"/>
        <v>5.6578935131942086E-2</v>
      </c>
      <c r="O155" s="6">
        <f t="shared" si="55"/>
        <v>0</v>
      </c>
      <c r="P155" s="6">
        <f t="shared" si="56"/>
        <v>0</v>
      </c>
      <c r="Q155" s="6">
        <f t="shared" si="57"/>
        <v>0</v>
      </c>
      <c r="R155" s="6">
        <f t="shared" si="58"/>
        <v>0</v>
      </c>
      <c r="S155" s="6">
        <f t="shared" si="59"/>
        <v>0.30099999999999999</v>
      </c>
      <c r="T155" s="83">
        <f t="shared" si="60"/>
        <v>-4.1662116118369452E-3</v>
      </c>
      <c r="W155" s="80"/>
      <c r="X155" s="81">
        <f t="shared" si="50"/>
        <v>0.23157893513194208</v>
      </c>
      <c r="Y155">
        <f t="shared" si="61"/>
        <v>0.5915674649429622</v>
      </c>
      <c r="Z155" s="81">
        <f t="shared" si="41"/>
        <v>40.394228040143275</v>
      </c>
    </row>
    <row r="156" spans="1:26" hidden="1" x14ac:dyDescent="0.35">
      <c r="A156" s="36">
        <v>0.4</v>
      </c>
      <c r="B156" s="8">
        <v>0.02</v>
      </c>
      <c r="C156" s="5">
        <f t="shared" si="42"/>
        <v>2</v>
      </c>
      <c r="D156" s="2">
        <v>100</v>
      </c>
      <c r="E156" s="5">
        <f t="shared" si="43"/>
        <v>102</v>
      </c>
      <c r="F156" s="5">
        <f t="shared" si="44"/>
        <v>2</v>
      </c>
      <c r="G156" s="8">
        <f t="shared" si="45"/>
        <v>0.1595769121605731</v>
      </c>
      <c r="H156" s="5">
        <f t="shared" si="46"/>
        <v>15.957691216057309</v>
      </c>
      <c r="I156" s="80">
        <f t="shared" si="51"/>
        <v>15.029816377425</v>
      </c>
      <c r="J156" s="80">
        <f t="shared" si="48"/>
        <v>0.94185406735413946</v>
      </c>
      <c r="K156" s="2">
        <f t="shared" si="52"/>
        <v>0.33386231429992147</v>
      </c>
      <c r="L156" s="5">
        <f t="shared" si="53"/>
        <v>0.4</v>
      </c>
      <c r="M156" s="80">
        <f t="shared" si="49"/>
        <v>-6.6137685700078552E-2</v>
      </c>
      <c r="N156" s="80">
        <f t="shared" si="54"/>
        <v>4.9506568240449321E-2</v>
      </c>
      <c r="O156" s="6">
        <f t="shared" si="55"/>
        <v>0</v>
      </c>
      <c r="P156" s="6">
        <f t="shared" si="56"/>
        <v>0</v>
      </c>
      <c r="Q156" s="6">
        <f t="shared" si="57"/>
        <v>0</v>
      </c>
      <c r="R156" s="6">
        <f t="shared" si="58"/>
        <v>0</v>
      </c>
      <c r="S156" s="6">
        <f t="shared" si="59"/>
        <v>0.33600000000000002</v>
      </c>
      <c r="T156" s="83">
        <f t="shared" si="60"/>
        <v>-2.137685700078551E-3</v>
      </c>
      <c r="W156" s="80"/>
      <c r="X156" s="81">
        <f t="shared" si="50"/>
        <v>0.24950656824044934</v>
      </c>
      <c r="Y156">
        <f t="shared" si="61"/>
        <v>0.59851551959294902</v>
      </c>
      <c r="Z156" s="81">
        <f t="shared" si="41"/>
        <v>40.394228040143275</v>
      </c>
    </row>
    <row r="157" spans="1:26" hidden="1" x14ac:dyDescent="0.35">
      <c r="A157" s="36">
        <v>0.5</v>
      </c>
      <c r="B157" s="8">
        <v>0.02</v>
      </c>
      <c r="C157" s="5">
        <f t="shared" si="42"/>
        <v>2</v>
      </c>
      <c r="D157" s="2">
        <v>100</v>
      </c>
      <c r="E157" s="5">
        <f t="shared" si="43"/>
        <v>102</v>
      </c>
      <c r="F157" s="5">
        <f t="shared" si="44"/>
        <v>2</v>
      </c>
      <c r="G157" s="8">
        <f t="shared" si="45"/>
        <v>0.19947114020071635</v>
      </c>
      <c r="H157" s="5">
        <f t="shared" si="46"/>
        <v>19.947114020071634</v>
      </c>
      <c r="I157" s="80">
        <f t="shared" si="51"/>
        <v>18.953989750613331</v>
      </c>
      <c r="J157" s="80">
        <f t="shared" si="48"/>
        <v>0.95021213251907122</v>
      </c>
      <c r="K157" s="2">
        <f t="shared" si="52"/>
        <v>0.39161917785935707</v>
      </c>
      <c r="L157" s="5">
        <f t="shared" si="53"/>
        <v>0.5</v>
      </c>
      <c r="M157" s="80">
        <f t="shared" si="49"/>
        <v>-0.10838082214064293</v>
      </c>
      <c r="N157" s="80">
        <f t="shared" si="54"/>
        <v>3.960525459235946E-2</v>
      </c>
      <c r="O157" s="6">
        <f t="shared" si="55"/>
        <v>0</v>
      </c>
      <c r="P157" s="6">
        <f t="shared" si="56"/>
        <v>0</v>
      </c>
      <c r="Q157" s="6">
        <f t="shared" si="57"/>
        <v>0</v>
      </c>
      <c r="R157" s="6">
        <f t="shared" si="58"/>
        <v>0</v>
      </c>
      <c r="S157" s="6">
        <f t="shared" si="59"/>
        <v>0.4</v>
      </c>
      <c r="T157" s="83">
        <f t="shared" si="60"/>
        <v>-8.3808221406429517E-3</v>
      </c>
      <c r="W157" s="80"/>
      <c r="X157" s="81">
        <f t="shared" si="50"/>
        <v>0.28960525459235947</v>
      </c>
      <c r="Y157">
        <f t="shared" si="61"/>
        <v>0.61394087668963027</v>
      </c>
      <c r="Z157" s="81">
        <f t="shared" si="41"/>
        <v>40.394228040143275</v>
      </c>
    </row>
    <row r="158" spans="1:26" hidden="1" x14ac:dyDescent="0.35">
      <c r="A158" s="36">
        <v>0.6</v>
      </c>
      <c r="B158" s="8">
        <v>0.02</v>
      </c>
      <c r="C158" s="5">
        <f t="shared" si="42"/>
        <v>2</v>
      </c>
      <c r="D158" s="2">
        <v>100</v>
      </c>
      <c r="E158" s="5">
        <f t="shared" si="43"/>
        <v>102</v>
      </c>
      <c r="F158" s="5">
        <f t="shared" si="44"/>
        <v>2</v>
      </c>
      <c r="G158" s="8">
        <f t="shared" si="45"/>
        <v>0.23936536824085961</v>
      </c>
      <c r="H158" s="5">
        <f t="shared" si="46"/>
        <v>23.936536824085959</v>
      </c>
      <c r="I158" s="80">
        <f t="shared" si="51"/>
        <v>22.830693504798958</v>
      </c>
      <c r="J158" s="80">
        <f t="shared" si="48"/>
        <v>0.95380103114272341</v>
      </c>
      <c r="K158" s="2">
        <f t="shared" si="52"/>
        <v>0.42283126435302587</v>
      </c>
      <c r="L158" s="5">
        <f t="shared" si="53"/>
        <v>0.6</v>
      </c>
      <c r="M158" s="80">
        <f t="shared" si="49"/>
        <v>-0.17716873564697411</v>
      </c>
      <c r="N158" s="80">
        <f t="shared" si="54"/>
        <v>3.3004378826966219E-2</v>
      </c>
      <c r="O158" s="6">
        <f t="shared" si="55"/>
        <v>0</v>
      </c>
      <c r="P158" s="6">
        <f t="shared" si="56"/>
        <v>0</v>
      </c>
      <c r="Q158" s="6">
        <f t="shared" si="57"/>
        <v>0</v>
      </c>
      <c r="R158" s="6">
        <f t="shared" si="58"/>
        <v>0</v>
      </c>
      <c r="S158" s="6">
        <f t="shared" si="59"/>
        <v>0.45599999999999996</v>
      </c>
      <c r="T158" s="83">
        <f t="shared" si="60"/>
        <v>-3.316873564697409E-2</v>
      </c>
      <c r="W158" s="80"/>
      <c r="X158" s="81">
        <f t="shared" si="50"/>
        <v>0.33300437882696621</v>
      </c>
      <c r="Y158">
        <f t="shared" si="61"/>
        <v>0.63043451110067605</v>
      </c>
      <c r="Z158" s="81">
        <f t="shared" ref="Z158:Z221" si="62">0.5+D145/(SQRT(2*PI()))</f>
        <v>40.394228040143275</v>
      </c>
    </row>
    <row r="159" spans="1:26" hidden="1" x14ac:dyDescent="0.35">
      <c r="A159" s="36">
        <v>0.01</v>
      </c>
      <c r="B159" s="8">
        <v>2.5000000000000001E-2</v>
      </c>
      <c r="C159" s="5">
        <f t="shared" ref="C159:C214" si="63">D159*B159</f>
        <v>2.5</v>
      </c>
      <c r="D159" s="81">
        <v>100</v>
      </c>
      <c r="E159" s="5">
        <f t="shared" ref="E159:E214" si="64">D159+C159</f>
        <v>102.5</v>
      </c>
      <c r="F159" s="5">
        <f t="shared" ref="F159:F214" si="65">E159-D159</f>
        <v>2.5</v>
      </c>
      <c r="G159" s="8">
        <f t="shared" ref="G159:G214" si="66">1/SQRT(2*PI())*A159</f>
        <v>3.9894228040143268E-3</v>
      </c>
      <c r="H159" s="5">
        <f t="shared" ref="H159:H214" si="67">G159*D159</f>
        <v>0.39894228040143265</v>
      </c>
      <c r="I159" s="80">
        <f t="shared" si="51"/>
        <v>2.2308617591022539E-3</v>
      </c>
      <c r="J159" s="80">
        <f t="shared" ref="J159:J214" si="68">I159/H159</f>
        <v>5.5919411621587617E-3</v>
      </c>
      <c r="K159" s="81">
        <f t="shared" ref="K159:K214" si="69">-B159/LN(J159)</f>
        <v>4.8202724810933028E-3</v>
      </c>
      <c r="L159" s="5">
        <f t="shared" si="53"/>
        <v>0.01</v>
      </c>
      <c r="M159" s="80">
        <f t="shared" si="49"/>
        <v>-5.1797275189066974E-3</v>
      </c>
      <c r="N159" s="80">
        <f t="shared" si="54"/>
        <v>2.4692612590371414</v>
      </c>
      <c r="O159" s="6">
        <f t="shared" si="55"/>
        <v>0</v>
      </c>
      <c r="P159" s="6">
        <f t="shared" si="56"/>
        <v>0</v>
      </c>
      <c r="Q159" s="6">
        <f t="shared" si="57"/>
        <v>0</v>
      </c>
      <c r="R159" s="6">
        <f t="shared" si="58"/>
        <v>0</v>
      </c>
      <c r="S159" s="6">
        <f t="shared" si="59"/>
        <v>9.9666666666666671E-3</v>
      </c>
      <c r="T159" s="83">
        <f t="shared" si="60"/>
        <v>-5.1463941855733643E-3</v>
      </c>
      <c r="W159" s="80"/>
      <c r="X159" s="81">
        <f t="shared" si="50"/>
        <v>2.4742612590371413</v>
      </c>
      <c r="Y159">
        <f t="shared" si="61"/>
        <v>0.99332439890695212</v>
      </c>
      <c r="Z159" s="81">
        <f t="shared" si="62"/>
        <v>40.394228040143275</v>
      </c>
    </row>
    <row r="160" spans="1:26" hidden="1" x14ac:dyDescent="0.35">
      <c r="A160" s="36">
        <v>0.02</v>
      </c>
      <c r="B160" s="8">
        <v>2.5000000000000001E-2</v>
      </c>
      <c r="C160" s="5">
        <f t="shared" si="63"/>
        <v>2.5</v>
      </c>
      <c r="D160" s="81">
        <v>100</v>
      </c>
      <c r="E160" s="5">
        <f t="shared" si="64"/>
        <v>102.5</v>
      </c>
      <c r="F160" s="5">
        <f t="shared" si="65"/>
        <v>2.5</v>
      </c>
      <c r="G160" s="8">
        <f t="shared" si="66"/>
        <v>7.9788456080286535E-3</v>
      </c>
      <c r="H160" s="5">
        <f t="shared" si="67"/>
        <v>0.79788456080286529</v>
      </c>
      <c r="I160" s="80">
        <f t="shared" si="51"/>
        <v>0.10575885143626351</v>
      </c>
      <c r="J160" s="80">
        <f t="shared" si="68"/>
        <v>0.13254906365131877</v>
      </c>
      <c r="K160" s="81">
        <f t="shared" si="69"/>
        <v>1.237132332754365E-2</v>
      </c>
      <c r="L160" s="5">
        <f t="shared" si="53"/>
        <v>0.02</v>
      </c>
      <c r="M160" s="80">
        <f t="shared" si="49"/>
        <v>-7.6286766724563502E-3</v>
      </c>
      <c r="N160" s="80">
        <f t="shared" si="54"/>
        <v>1.2346306295185707</v>
      </c>
      <c r="O160" s="6">
        <f t="shared" si="55"/>
        <v>0</v>
      </c>
      <c r="P160" s="6">
        <f t="shared" si="56"/>
        <v>0</v>
      </c>
      <c r="Q160" s="6">
        <f t="shared" si="57"/>
        <v>0</v>
      </c>
      <c r="R160" s="6">
        <f t="shared" si="58"/>
        <v>0</v>
      </c>
      <c r="S160" s="6">
        <f t="shared" si="59"/>
        <v>1.9866666666666668E-2</v>
      </c>
      <c r="T160" s="83">
        <f t="shared" si="60"/>
        <v>-7.4953433391230177E-3</v>
      </c>
      <c r="W160" s="80"/>
      <c r="X160" s="81">
        <f t="shared" si="50"/>
        <v>1.2446306295185707</v>
      </c>
      <c r="Y160">
        <f t="shared" si="61"/>
        <v>0.89336622196218329</v>
      </c>
      <c r="Z160" s="81">
        <f t="shared" si="62"/>
        <v>40.394228040143275</v>
      </c>
    </row>
    <row r="161" spans="1:26" hidden="1" x14ac:dyDescent="0.35">
      <c r="A161" s="36">
        <v>0.05</v>
      </c>
      <c r="B161" s="8">
        <v>2.5000000000000001E-2</v>
      </c>
      <c r="C161" s="5">
        <f t="shared" si="63"/>
        <v>2.5</v>
      </c>
      <c r="D161" s="81">
        <v>100</v>
      </c>
      <c r="E161" s="5">
        <f t="shared" si="64"/>
        <v>102.5</v>
      </c>
      <c r="F161" s="5">
        <f t="shared" si="65"/>
        <v>2.5</v>
      </c>
      <c r="G161" s="8">
        <f t="shared" si="66"/>
        <v>1.9947114020071637E-2</v>
      </c>
      <c r="H161" s="5">
        <f t="shared" si="67"/>
        <v>1.9947114020071637</v>
      </c>
      <c r="I161" s="80">
        <f t="shared" si="51"/>
        <v>1.0107438313359154</v>
      </c>
      <c r="J161" s="80">
        <f t="shared" si="68"/>
        <v>0.50671181320709446</v>
      </c>
      <c r="K161" s="81">
        <f t="shared" si="69"/>
        <v>3.6774826922288693E-2</v>
      </c>
      <c r="L161" s="5">
        <f t="shared" si="53"/>
        <v>0.05</v>
      </c>
      <c r="M161" s="80">
        <f t="shared" si="49"/>
        <v>-1.3225173077711309E-2</v>
      </c>
      <c r="N161" s="80">
        <f t="shared" si="54"/>
        <v>0.49385225180742826</v>
      </c>
      <c r="O161" s="6">
        <f t="shared" si="55"/>
        <v>0</v>
      </c>
      <c r="P161" s="6">
        <f t="shared" si="56"/>
        <v>0</v>
      </c>
      <c r="Q161" s="6">
        <f t="shared" si="57"/>
        <v>0</v>
      </c>
      <c r="R161" s="6">
        <f t="shared" si="58"/>
        <v>0</v>
      </c>
      <c r="S161" s="6">
        <f t="shared" si="59"/>
        <v>4.9166666666666671E-2</v>
      </c>
      <c r="T161" s="83">
        <f t="shared" si="60"/>
        <v>-1.2391839744377978E-2</v>
      </c>
      <c r="W161" s="80"/>
      <c r="X161" s="81">
        <f t="shared" si="50"/>
        <v>0.51885225180742822</v>
      </c>
      <c r="Y161">
        <f t="shared" si="61"/>
        <v>0.69806811150516079</v>
      </c>
      <c r="Z161" s="81">
        <f t="shared" si="62"/>
        <v>40.394228040143275</v>
      </c>
    </row>
    <row r="162" spans="1:26" hidden="1" x14ac:dyDescent="0.35">
      <c r="A162" s="36">
        <v>0.08</v>
      </c>
      <c r="B162" s="8">
        <v>2.5000000000000001E-2</v>
      </c>
      <c r="C162" s="5">
        <f t="shared" si="63"/>
        <v>2.5</v>
      </c>
      <c r="D162" s="81">
        <v>100</v>
      </c>
      <c r="E162" s="5">
        <f t="shared" si="64"/>
        <v>102.5</v>
      </c>
      <c r="F162" s="5">
        <f t="shared" si="65"/>
        <v>2.5</v>
      </c>
      <c r="G162" s="8">
        <f t="shared" si="66"/>
        <v>3.1915382432114614E-2</v>
      </c>
      <c r="H162" s="5">
        <f t="shared" si="67"/>
        <v>3.1915382432114612</v>
      </c>
      <c r="I162" s="80">
        <f t="shared" si="51"/>
        <v>2.1331571984018396</v>
      </c>
      <c r="J162" s="80">
        <f t="shared" si="68"/>
        <v>0.6683790184683378</v>
      </c>
      <c r="K162" s="81">
        <f t="shared" si="69"/>
        <v>6.2050156002378572E-2</v>
      </c>
      <c r="L162" s="5">
        <f t="shared" si="53"/>
        <v>0.08</v>
      </c>
      <c r="M162" s="80">
        <f t="shared" si="49"/>
        <v>-1.794984399762143E-2</v>
      </c>
      <c r="N162" s="80">
        <f t="shared" si="54"/>
        <v>0.30865765737964268</v>
      </c>
      <c r="O162" s="6">
        <f t="shared" si="55"/>
        <v>0</v>
      </c>
      <c r="P162" s="6">
        <f t="shared" si="56"/>
        <v>0</v>
      </c>
      <c r="Q162" s="6">
        <f t="shared" si="57"/>
        <v>0</v>
      </c>
      <c r="R162" s="6">
        <f t="shared" si="58"/>
        <v>0</v>
      </c>
      <c r="S162" s="6">
        <f t="shared" si="59"/>
        <v>7.7866666666666667E-2</v>
      </c>
      <c r="T162" s="83">
        <f t="shared" si="60"/>
        <v>-1.5816510664288096E-2</v>
      </c>
      <c r="W162" s="80"/>
      <c r="X162" s="81">
        <f t="shared" si="50"/>
        <v>0.34865765737964266</v>
      </c>
      <c r="Y162">
        <f t="shared" si="61"/>
        <v>0.63632683187345696</v>
      </c>
      <c r="Z162" s="81">
        <f t="shared" si="62"/>
        <v>40.394228040143275</v>
      </c>
    </row>
    <row r="163" spans="1:26" hidden="1" x14ac:dyDescent="0.35">
      <c r="A163" s="36">
        <v>0.1</v>
      </c>
      <c r="B163" s="8">
        <v>2.5000000000000001E-2</v>
      </c>
      <c r="C163" s="5">
        <f t="shared" si="63"/>
        <v>2.5</v>
      </c>
      <c r="D163" s="81">
        <v>100</v>
      </c>
      <c r="E163" s="5">
        <f t="shared" si="64"/>
        <v>102.5</v>
      </c>
      <c r="F163" s="5">
        <f t="shared" si="65"/>
        <v>2.5</v>
      </c>
      <c r="G163" s="8">
        <f t="shared" si="66"/>
        <v>3.9894228040143274E-2</v>
      </c>
      <c r="H163" s="5">
        <f t="shared" si="67"/>
        <v>3.9894228040143274</v>
      </c>
      <c r="I163" s="80">
        <f t="shared" si="51"/>
        <v>2.9099683065655029</v>
      </c>
      <c r="J163" s="80">
        <f t="shared" si="68"/>
        <v>0.72942088355171797</v>
      </c>
      <c r="K163" s="81">
        <f t="shared" si="69"/>
        <v>7.9238205193537123E-2</v>
      </c>
      <c r="L163" s="5">
        <f t="shared" si="53"/>
        <v>0.1</v>
      </c>
      <c r="M163" s="80">
        <f t="shared" si="49"/>
        <v>-2.0761794806462883E-2</v>
      </c>
      <c r="N163" s="80">
        <f t="shared" si="54"/>
        <v>0.24692612590371413</v>
      </c>
      <c r="O163" s="6">
        <f t="shared" si="55"/>
        <v>0</v>
      </c>
      <c r="P163" s="6">
        <f t="shared" si="56"/>
        <v>0</v>
      </c>
      <c r="Q163" s="6">
        <f t="shared" si="57"/>
        <v>0</v>
      </c>
      <c r="R163" s="6">
        <f t="shared" si="58"/>
        <v>0</v>
      </c>
      <c r="S163" s="6">
        <f t="shared" si="59"/>
        <v>9.6666666666666679E-2</v>
      </c>
      <c r="T163" s="83">
        <f t="shared" si="60"/>
        <v>-1.7428461473129556E-2</v>
      </c>
      <c r="W163" s="80"/>
      <c r="X163" s="81">
        <f t="shared" si="50"/>
        <v>0.29692612590371414</v>
      </c>
      <c r="Y163">
        <f t="shared" si="61"/>
        <v>0.61673854520065885</v>
      </c>
      <c r="Z163" s="81">
        <f t="shared" si="62"/>
        <v>40.394228040143275</v>
      </c>
    </row>
    <row r="164" spans="1:26" hidden="1" x14ac:dyDescent="0.35">
      <c r="A164" s="36">
        <v>0.12</v>
      </c>
      <c r="B164" s="8">
        <v>2.5000000000000001E-2</v>
      </c>
      <c r="C164" s="5">
        <f t="shared" si="63"/>
        <v>2.5</v>
      </c>
      <c r="D164" s="81">
        <v>100</v>
      </c>
      <c r="E164" s="5">
        <f t="shared" si="64"/>
        <v>102.5</v>
      </c>
      <c r="F164" s="5">
        <f t="shared" si="65"/>
        <v>2.5</v>
      </c>
      <c r="G164" s="8">
        <f t="shared" si="66"/>
        <v>4.7873073648171921E-2</v>
      </c>
      <c r="H164" s="5">
        <f t="shared" si="67"/>
        <v>4.7873073648171918</v>
      </c>
      <c r="I164" s="80">
        <f t="shared" si="51"/>
        <v>3.696310082310994</v>
      </c>
      <c r="J164" s="80">
        <f t="shared" si="68"/>
        <v>0.77210628034369821</v>
      </c>
      <c r="K164" s="81">
        <f t="shared" si="69"/>
        <v>9.6662039542191824E-2</v>
      </c>
      <c r="L164" s="5">
        <f t="shared" si="53"/>
        <v>0.12</v>
      </c>
      <c r="M164" s="80">
        <f t="shared" si="49"/>
        <v>-2.3337960457808171E-2</v>
      </c>
      <c r="N164" s="80">
        <f t="shared" si="54"/>
        <v>0.20577177158642845</v>
      </c>
      <c r="O164" s="6">
        <f t="shared" si="55"/>
        <v>0</v>
      </c>
      <c r="P164" s="6">
        <f t="shared" si="56"/>
        <v>0</v>
      </c>
      <c r="Q164" s="6">
        <f t="shared" si="57"/>
        <v>0</v>
      </c>
      <c r="R164" s="6">
        <f t="shared" si="58"/>
        <v>0</v>
      </c>
      <c r="S164" s="6">
        <f t="shared" si="59"/>
        <v>0.1152</v>
      </c>
      <c r="T164" s="83">
        <f t="shared" si="60"/>
        <v>-1.8537960457808172E-2</v>
      </c>
      <c r="W164" s="80"/>
      <c r="X164" s="81">
        <f t="shared" si="50"/>
        <v>0.26577177158642845</v>
      </c>
      <c r="Y164">
        <f t="shared" si="61"/>
        <v>0.60479250771038839</v>
      </c>
      <c r="Z164" s="81">
        <f t="shared" si="62"/>
        <v>40.394228040143275</v>
      </c>
    </row>
    <row r="165" spans="1:26" hidden="1" x14ac:dyDescent="0.35">
      <c r="A165" s="36">
        <v>0.15</v>
      </c>
      <c r="B165" s="8">
        <v>2.5000000000000001E-2</v>
      </c>
      <c r="C165" s="5">
        <f t="shared" si="63"/>
        <v>2.5</v>
      </c>
      <c r="D165" s="81">
        <v>100</v>
      </c>
      <c r="E165" s="5">
        <f t="shared" si="64"/>
        <v>102.5</v>
      </c>
      <c r="F165" s="5">
        <f t="shared" si="65"/>
        <v>2.5</v>
      </c>
      <c r="G165" s="8">
        <f t="shared" si="66"/>
        <v>5.9841342060214901E-2</v>
      </c>
      <c r="H165" s="5">
        <f t="shared" si="67"/>
        <v>5.9841342060214897</v>
      </c>
      <c r="I165" s="80">
        <f t="shared" si="51"/>
        <v>4.8849355266809269</v>
      </c>
      <c r="J165" s="80">
        <f t="shared" si="68"/>
        <v>0.81631450072852607</v>
      </c>
      <c r="K165" s="81">
        <f t="shared" si="69"/>
        <v>0.12317966282175515</v>
      </c>
      <c r="L165" s="5">
        <f t="shared" si="53"/>
        <v>0.15</v>
      </c>
      <c r="M165" s="80">
        <f t="shared" si="49"/>
        <v>-2.6820337178244849E-2</v>
      </c>
      <c r="N165" s="80">
        <f t="shared" si="54"/>
        <v>0.16461741726914278</v>
      </c>
      <c r="O165" s="6">
        <f t="shared" si="55"/>
        <v>0</v>
      </c>
      <c r="P165" s="6">
        <f t="shared" si="56"/>
        <v>0</v>
      </c>
      <c r="Q165" s="6">
        <f t="shared" si="57"/>
        <v>0</v>
      </c>
      <c r="R165" s="6">
        <f t="shared" si="58"/>
        <v>0</v>
      </c>
      <c r="S165" s="6">
        <f t="shared" si="59"/>
        <v>0.14249999999999999</v>
      </c>
      <c r="T165" s="83">
        <f t="shared" si="60"/>
        <v>-1.9320337178244842E-2</v>
      </c>
      <c r="W165" s="80"/>
      <c r="X165" s="81">
        <f t="shared" si="50"/>
        <v>0.23961741726914276</v>
      </c>
      <c r="Y165">
        <f t="shared" si="61"/>
        <v>0.59468656946983312</v>
      </c>
      <c r="Z165" s="81">
        <f t="shared" si="62"/>
        <v>40.394228040143275</v>
      </c>
    </row>
    <row r="166" spans="1:26" hidden="1" x14ac:dyDescent="0.35">
      <c r="A166" s="36">
        <v>0.2</v>
      </c>
      <c r="B166" s="8">
        <v>2.5000000000000001E-2</v>
      </c>
      <c r="C166" s="5">
        <f t="shared" si="63"/>
        <v>2.5</v>
      </c>
      <c r="D166" s="81">
        <v>100</v>
      </c>
      <c r="E166" s="5">
        <f t="shared" si="64"/>
        <v>102.5</v>
      </c>
      <c r="F166" s="5">
        <f t="shared" si="65"/>
        <v>2.5</v>
      </c>
      <c r="G166" s="8">
        <f t="shared" si="66"/>
        <v>7.9788456080286549E-2</v>
      </c>
      <c r="H166" s="5">
        <f t="shared" si="67"/>
        <v>7.9788456080286547</v>
      </c>
      <c r="I166" s="80">
        <f t="shared" si="51"/>
        <v>6.8763197944468928</v>
      </c>
      <c r="J166" s="80">
        <f t="shared" si="68"/>
        <v>0.86181888110827043</v>
      </c>
      <c r="K166" s="81">
        <f t="shared" si="69"/>
        <v>0.16811226954259095</v>
      </c>
      <c r="L166" s="5">
        <f t="shared" si="53"/>
        <v>0.2</v>
      </c>
      <c r="M166" s="80">
        <f t="shared" si="49"/>
        <v>-3.1887730457409058E-2</v>
      </c>
      <c r="N166" s="80">
        <f t="shared" si="54"/>
        <v>0.12346306295185706</v>
      </c>
      <c r="O166" s="6">
        <f t="shared" si="55"/>
        <v>0</v>
      </c>
      <c r="P166" s="6">
        <f t="shared" si="56"/>
        <v>0</v>
      </c>
      <c r="Q166" s="6">
        <f t="shared" si="57"/>
        <v>0</v>
      </c>
      <c r="R166" s="6">
        <f t="shared" si="58"/>
        <v>0</v>
      </c>
      <c r="S166" s="6">
        <f t="shared" si="59"/>
        <v>0.18666666666666668</v>
      </c>
      <c r="T166" s="83">
        <f t="shared" si="60"/>
        <v>-1.8554397124075722E-2</v>
      </c>
      <c r="W166" s="80"/>
      <c r="X166" s="81">
        <f t="shared" si="50"/>
        <v>0.22346306295185708</v>
      </c>
      <c r="Y166">
        <f t="shared" si="61"/>
        <v>0.58841243611051419</v>
      </c>
      <c r="Z166" s="81">
        <f t="shared" si="62"/>
        <v>40.394228040143275</v>
      </c>
    </row>
    <row r="167" spans="1:26" hidden="1" x14ac:dyDescent="0.35">
      <c r="A167" s="36">
        <v>0.25</v>
      </c>
      <c r="B167" s="8">
        <v>2.5000000000000001E-2</v>
      </c>
      <c r="C167" s="5">
        <f t="shared" si="63"/>
        <v>2.5</v>
      </c>
      <c r="D167" s="81">
        <v>100</v>
      </c>
      <c r="E167" s="5">
        <f t="shared" si="64"/>
        <v>102.5</v>
      </c>
      <c r="F167" s="5">
        <f t="shared" si="65"/>
        <v>2.5</v>
      </c>
      <c r="G167" s="8">
        <f t="shared" si="66"/>
        <v>9.9735570100358176E-2</v>
      </c>
      <c r="H167" s="5">
        <f t="shared" si="67"/>
        <v>9.9735570100358171</v>
      </c>
      <c r="I167" s="80">
        <f t="shared" si="51"/>
        <v>8.8708215493361138</v>
      </c>
      <c r="J167" s="80">
        <f t="shared" si="68"/>
        <v>0.88943408459087525</v>
      </c>
      <c r="K167" s="81">
        <f t="shared" si="69"/>
        <v>0.2133654170996731</v>
      </c>
      <c r="L167" s="5">
        <f t="shared" si="53"/>
        <v>0.25</v>
      </c>
      <c r="M167" s="80">
        <f t="shared" si="49"/>
        <v>-3.6634582900326895E-2</v>
      </c>
      <c r="N167" s="80">
        <f t="shared" si="54"/>
        <v>9.8770450361485657E-2</v>
      </c>
      <c r="O167" s="6">
        <f t="shared" si="55"/>
        <v>0</v>
      </c>
      <c r="P167" s="6">
        <f t="shared" si="56"/>
        <v>0</v>
      </c>
      <c r="Q167" s="6">
        <f t="shared" si="57"/>
        <v>0</v>
      </c>
      <c r="R167" s="6">
        <f t="shared" si="58"/>
        <v>0</v>
      </c>
      <c r="S167" s="6">
        <f t="shared" si="59"/>
        <v>0.22916666666666666</v>
      </c>
      <c r="T167" s="83">
        <f t="shared" si="60"/>
        <v>-1.5801249566993553E-2</v>
      </c>
      <c r="W167" s="80"/>
      <c r="X167" s="81">
        <f t="shared" si="50"/>
        <v>0.22377045036148566</v>
      </c>
      <c r="Y167">
        <f t="shared" si="61"/>
        <v>0.58853203793649222</v>
      </c>
      <c r="Z167" s="81">
        <f t="shared" si="62"/>
        <v>40.394228040143275</v>
      </c>
    </row>
    <row r="168" spans="1:26" hidden="1" x14ac:dyDescent="0.35">
      <c r="A168" s="36">
        <v>0.3</v>
      </c>
      <c r="B168" s="8">
        <v>2.5000000000000001E-2</v>
      </c>
      <c r="C168" s="5">
        <f t="shared" si="63"/>
        <v>2.5</v>
      </c>
      <c r="D168" s="81">
        <v>100</v>
      </c>
      <c r="E168" s="5">
        <f t="shared" si="64"/>
        <v>102.5</v>
      </c>
      <c r="F168" s="5">
        <f t="shared" si="65"/>
        <v>2.5</v>
      </c>
      <c r="G168" s="8">
        <f t="shared" si="66"/>
        <v>0.1196826841204298</v>
      </c>
      <c r="H168" s="5">
        <f t="shared" si="67"/>
        <v>11.968268412042979</v>
      </c>
      <c r="I168" s="80">
        <f t="shared" si="51"/>
        <v>10.863145647351523</v>
      </c>
      <c r="J168" s="80">
        <f t="shared" si="68"/>
        <v>0.90766226770286706</v>
      </c>
      <c r="K168" s="81">
        <f t="shared" si="69"/>
        <v>0.25804341599232516</v>
      </c>
      <c r="L168" s="5">
        <f t="shared" si="53"/>
        <v>0.3</v>
      </c>
      <c r="M168" s="80">
        <f t="shared" si="49"/>
        <v>-4.1956584007674824E-2</v>
      </c>
      <c r="N168" s="80">
        <f t="shared" si="54"/>
        <v>8.230870863457139E-2</v>
      </c>
      <c r="O168" s="6">
        <f t="shared" si="55"/>
        <v>0</v>
      </c>
      <c r="P168" s="6">
        <f t="shared" si="56"/>
        <v>0</v>
      </c>
      <c r="Q168" s="6">
        <f t="shared" si="57"/>
        <v>0</v>
      </c>
      <c r="R168" s="6">
        <f t="shared" si="58"/>
        <v>0</v>
      </c>
      <c r="S168" s="6">
        <f t="shared" si="59"/>
        <v>0.27</v>
      </c>
      <c r="T168" s="83">
        <f t="shared" si="60"/>
        <v>-1.1956584007674853E-2</v>
      </c>
      <c r="W168" s="80"/>
      <c r="X168" s="81">
        <f t="shared" si="50"/>
        <v>0.23230870863457137</v>
      </c>
      <c r="Y168">
        <f t="shared" si="61"/>
        <v>0.59185087553266036</v>
      </c>
      <c r="Z168" s="81">
        <f t="shared" si="62"/>
        <v>40.394228040143275</v>
      </c>
    </row>
    <row r="169" spans="1:26" hidden="1" x14ac:dyDescent="0.35">
      <c r="A169" s="36">
        <v>0.35</v>
      </c>
      <c r="B169" s="8">
        <v>2.5000000000000001E-2</v>
      </c>
      <c r="C169" s="5">
        <f t="shared" si="63"/>
        <v>2.5</v>
      </c>
      <c r="D169" s="81">
        <v>100</v>
      </c>
      <c r="E169" s="5">
        <f t="shared" si="64"/>
        <v>102.5</v>
      </c>
      <c r="F169" s="5">
        <f t="shared" si="65"/>
        <v>2.5</v>
      </c>
      <c r="G169" s="8">
        <f t="shared" si="66"/>
        <v>0.13962979814050144</v>
      </c>
      <c r="H169" s="5">
        <f t="shared" si="67"/>
        <v>13.962979814050144</v>
      </c>
      <c r="I169" s="80">
        <f t="shared" si="51"/>
        <v>12.850319559748129</v>
      </c>
      <c r="J169" s="80">
        <f t="shared" si="68"/>
        <v>0.92031355275738436</v>
      </c>
      <c r="K169" s="81">
        <f t="shared" si="69"/>
        <v>0.30105665301267265</v>
      </c>
      <c r="L169" s="5">
        <f t="shared" si="53"/>
        <v>0.35</v>
      </c>
      <c r="M169" s="80">
        <f t="shared" si="49"/>
        <v>-4.894334698732733E-2</v>
      </c>
      <c r="N169" s="80">
        <f t="shared" si="54"/>
        <v>7.0550321686775469E-2</v>
      </c>
      <c r="O169" s="6">
        <f t="shared" si="55"/>
        <v>0</v>
      </c>
      <c r="P169" s="6">
        <f t="shared" si="56"/>
        <v>0</v>
      </c>
      <c r="Q169" s="6">
        <f t="shared" si="57"/>
        <v>0</v>
      </c>
      <c r="R169" s="6">
        <f t="shared" si="58"/>
        <v>0</v>
      </c>
      <c r="S169" s="6">
        <f t="shared" si="59"/>
        <v>0.30916666666666665</v>
      </c>
      <c r="T169" s="83">
        <f t="shared" si="60"/>
        <v>-8.1100136539939971E-3</v>
      </c>
      <c r="W169" s="80"/>
      <c r="X169" s="81">
        <f t="shared" si="50"/>
        <v>0.24555032168677546</v>
      </c>
      <c r="Y169">
        <f t="shared" si="61"/>
        <v>0.59698482529059593</v>
      </c>
      <c r="Z169" s="81">
        <f t="shared" si="62"/>
        <v>40.394228040143275</v>
      </c>
    </row>
    <row r="170" spans="1:26" hidden="1" x14ac:dyDescent="0.35">
      <c r="A170" s="36">
        <v>0.4</v>
      </c>
      <c r="B170" s="8">
        <v>2.5000000000000001E-2</v>
      </c>
      <c r="C170" s="5">
        <f t="shared" si="63"/>
        <v>2.5</v>
      </c>
      <c r="D170" s="81">
        <v>100</v>
      </c>
      <c r="E170" s="5">
        <f t="shared" si="64"/>
        <v>102.5</v>
      </c>
      <c r="F170" s="5">
        <f t="shared" si="65"/>
        <v>2.5</v>
      </c>
      <c r="G170" s="8">
        <f t="shared" si="66"/>
        <v>0.1595769121605731</v>
      </c>
      <c r="H170" s="5">
        <f t="shared" si="67"/>
        <v>15.957691216057309</v>
      </c>
      <c r="I170" s="80">
        <f t="shared" si="51"/>
        <v>14.8302557800423</v>
      </c>
      <c r="J170" s="80">
        <f t="shared" si="68"/>
        <v>0.92934846145659622</v>
      </c>
      <c r="K170" s="81">
        <f t="shared" si="69"/>
        <v>0.34119670064880286</v>
      </c>
      <c r="L170" s="5">
        <f t="shared" si="53"/>
        <v>0.4</v>
      </c>
      <c r="M170" s="80">
        <f t="shared" si="49"/>
        <v>-5.8803299351197158E-2</v>
      </c>
      <c r="N170" s="80">
        <f t="shared" si="54"/>
        <v>6.1731531475928532E-2</v>
      </c>
      <c r="O170" s="6">
        <f t="shared" si="55"/>
        <v>0</v>
      </c>
      <c r="P170" s="6">
        <f t="shared" si="56"/>
        <v>0</v>
      </c>
      <c r="Q170" s="6">
        <f t="shared" si="57"/>
        <v>0</v>
      </c>
      <c r="R170" s="6">
        <f t="shared" si="58"/>
        <v>0</v>
      </c>
      <c r="S170" s="6">
        <f t="shared" si="59"/>
        <v>0.34666666666666668</v>
      </c>
      <c r="T170" s="83">
        <f t="shared" si="60"/>
        <v>-5.4699660178638143E-3</v>
      </c>
      <c r="W170" s="80"/>
      <c r="X170" s="81">
        <f t="shared" si="50"/>
        <v>0.26173153147592854</v>
      </c>
      <c r="Y170">
        <f t="shared" si="61"/>
        <v>0.60323578545788936</v>
      </c>
      <c r="Z170" s="81">
        <f t="shared" si="62"/>
        <v>40.394228040143275</v>
      </c>
    </row>
    <row r="171" spans="1:26" hidden="1" x14ac:dyDescent="0.35">
      <c r="A171" s="36">
        <v>0.5</v>
      </c>
      <c r="B171" s="8">
        <v>2.5000000000000001E-2</v>
      </c>
      <c r="C171" s="5">
        <f t="shared" si="63"/>
        <v>2.5</v>
      </c>
      <c r="D171" s="81">
        <v>100</v>
      </c>
      <c r="E171" s="5">
        <f t="shared" si="64"/>
        <v>102.5</v>
      </c>
      <c r="F171" s="5">
        <f t="shared" si="65"/>
        <v>2.5</v>
      </c>
      <c r="G171" s="8">
        <f t="shared" si="66"/>
        <v>0.19947114020071635</v>
      </c>
      <c r="H171" s="5">
        <f t="shared" si="67"/>
        <v>19.947114020071634</v>
      </c>
      <c r="I171" s="80">
        <f t="shared" si="51"/>
        <v>18.761895412593717</v>
      </c>
      <c r="J171" s="80">
        <f t="shared" si="68"/>
        <v>0.94058195053754146</v>
      </c>
      <c r="K171" s="81">
        <f t="shared" si="69"/>
        <v>0.40811996152858382</v>
      </c>
      <c r="L171" s="5">
        <f t="shared" si="53"/>
        <v>0.5</v>
      </c>
      <c r="M171" s="80">
        <f t="shared" si="49"/>
        <v>-9.1880038471416181E-2</v>
      </c>
      <c r="N171" s="80">
        <f t="shared" si="54"/>
        <v>4.9385225180742828E-2</v>
      </c>
      <c r="O171" s="6">
        <f t="shared" si="55"/>
        <v>0</v>
      </c>
      <c r="P171" s="6">
        <f t="shared" si="56"/>
        <v>0</v>
      </c>
      <c r="Q171" s="6">
        <f t="shared" si="57"/>
        <v>0</v>
      </c>
      <c r="R171" s="6">
        <f t="shared" si="58"/>
        <v>0</v>
      </c>
      <c r="S171" s="6">
        <f t="shared" si="59"/>
        <v>0.41666666666666669</v>
      </c>
      <c r="T171" s="83">
        <f t="shared" si="60"/>
        <v>-8.5467051380828662E-3</v>
      </c>
      <c r="W171" s="80"/>
      <c r="X171" s="81">
        <f t="shared" si="50"/>
        <v>0.29938522518074284</v>
      </c>
      <c r="Y171">
        <f t="shared" si="61"/>
        <v>0.6176769329553593</v>
      </c>
      <c r="Z171" s="81">
        <f t="shared" si="62"/>
        <v>40.394228040143275</v>
      </c>
    </row>
    <row r="172" spans="1:26" hidden="1" x14ac:dyDescent="0.35">
      <c r="A172" s="36">
        <v>0.6</v>
      </c>
      <c r="B172" s="8">
        <v>2.5000000000000001E-2</v>
      </c>
      <c r="C172" s="5">
        <f t="shared" si="63"/>
        <v>2.5</v>
      </c>
      <c r="D172" s="81">
        <v>100</v>
      </c>
      <c r="E172" s="5">
        <f t="shared" si="64"/>
        <v>102.5</v>
      </c>
      <c r="F172" s="5">
        <f t="shared" si="65"/>
        <v>2.5</v>
      </c>
      <c r="G172" s="8">
        <f t="shared" si="66"/>
        <v>0.23936536824085961</v>
      </c>
      <c r="H172" s="5">
        <f t="shared" si="67"/>
        <v>23.936536824085959</v>
      </c>
      <c r="I172" s="80">
        <f t="shared" si="51"/>
        <v>22.646679687055112</v>
      </c>
      <c r="J172" s="80">
        <f t="shared" si="68"/>
        <v>0.94611346050139811</v>
      </c>
      <c r="K172" s="81">
        <f t="shared" si="69"/>
        <v>0.45132235631245782</v>
      </c>
      <c r="L172" s="5">
        <f t="shared" si="53"/>
        <v>0.6</v>
      </c>
      <c r="M172" s="80">
        <f t="shared" si="49"/>
        <v>-0.14867764368754216</v>
      </c>
      <c r="N172" s="80">
        <f t="shared" si="54"/>
        <v>4.1154354317285695E-2</v>
      </c>
      <c r="O172" s="6">
        <f t="shared" si="55"/>
        <v>0</v>
      </c>
      <c r="P172" s="6">
        <f t="shared" si="56"/>
        <v>0</v>
      </c>
      <c r="Q172" s="6">
        <f t="shared" si="57"/>
        <v>0</v>
      </c>
      <c r="R172" s="6">
        <f t="shared" si="58"/>
        <v>0</v>
      </c>
      <c r="S172" s="6">
        <f t="shared" si="59"/>
        <v>0.48</v>
      </c>
      <c r="T172" s="83">
        <f t="shared" si="60"/>
        <v>-2.8677643687542165E-2</v>
      </c>
      <c r="W172" s="80"/>
      <c r="X172" s="81">
        <f t="shared" si="50"/>
        <v>0.34115435431728569</v>
      </c>
      <c r="Y172">
        <f t="shared" si="61"/>
        <v>0.63350630795181284</v>
      </c>
      <c r="Z172" s="81">
        <f t="shared" si="62"/>
        <v>40.394228040143275</v>
      </c>
    </row>
    <row r="173" spans="1:26" hidden="1" x14ac:dyDescent="0.35">
      <c r="A173" s="36">
        <v>0.01</v>
      </c>
      <c r="B173" s="8">
        <v>0.03</v>
      </c>
      <c r="C173" s="5">
        <f t="shared" si="63"/>
        <v>3</v>
      </c>
      <c r="D173" s="81">
        <v>100</v>
      </c>
      <c r="E173" s="5">
        <f t="shared" si="64"/>
        <v>103</v>
      </c>
      <c r="F173" s="5">
        <f t="shared" si="65"/>
        <v>3</v>
      </c>
      <c r="G173" s="8">
        <f t="shared" si="66"/>
        <v>3.9894228040143268E-3</v>
      </c>
      <c r="H173" s="5">
        <f t="shared" si="67"/>
        <v>0.39894228040143265</v>
      </c>
      <c r="I173" s="80">
        <f t="shared" si="51"/>
        <v>4.5285991799914882E-4</v>
      </c>
      <c r="J173" s="80">
        <f t="shared" si="68"/>
        <v>1.1351514749037429E-3</v>
      </c>
      <c r="K173" s="81">
        <f t="shared" si="69"/>
        <v>4.4241332950950485E-3</v>
      </c>
      <c r="L173" s="5">
        <f t="shared" si="53"/>
        <v>0.01</v>
      </c>
      <c r="M173" s="80">
        <f t="shared" si="49"/>
        <v>-5.5758667049049518E-3</v>
      </c>
      <c r="N173" s="80">
        <f t="shared" si="54"/>
        <v>2.9558802241544426</v>
      </c>
      <c r="O173" s="6">
        <f t="shared" si="55"/>
        <v>1</v>
      </c>
      <c r="P173" s="6">
        <f t="shared" si="56"/>
        <v>0.01</v>
      </c>
      <c r="Q173" s="6">
        <f t="shared" si="57"/>
        <v>-5.5758667049049518E-3</v>
      </c>
      <c r="R173" s="6">
        <f t="shared" si="58"/>
        <v>-3.5694620462796661E-5</v>
      </c>
      <c r="S173" s="6">
        <f t="shared" si="59"/>
        <v>9.9714285714285721E-3</v>
      </c>
      <c r="T173" s="83">
        <f t="shared" si="60"/>
        <v>-5.5472952763335236E-3</v>
      </c>
      <c r="W173" s="80"/>
      <c r="X173" s="81">
        <f t="shared" si="50"/>
        <v>2.9608802241544425</v>
      </c>
      <c r="Y173">
        <f t="shared" si="61"/>
        <v>0.99846619393781588</v>
      </c>
      <c r="Z173" s="81">
        <f t="shared" si="62"/>
        <v>40.394228040143275</v>
      </c>
    </row>
    <row r="174" spans="1:26" hidden="1" x14ac:dyDescent="0.35">
      <c r="A174" s="36">
        <v>0.02</v>
      </c>
      <c r="B174" s="8">
        <v>0.03</v>
      </c>
      <c r="C174" s="5">
        <f t="shared" si="63"/>
        <v>3</v>
      </c>
      <c r="D174" s="81">
        <v>100</v>
      </c>
      <c r="E174" s="5">
        <f t="shared" si="64"/>
        <v>103</v>
      </c>
      <c r="F174" s="5">
        <f t="shared" si="65"/>
        <v>3</v>
      </c>
      <c r="G174" s="8">
        <f t="shared" si="66"/>
        <v>7.9788456080286535E-3</v>
      </c>
      <c r="H174" s="5">
        <f t="shared" si="67"/>
        <v>0.79788456080286529</v>
      </c>
      <c r="I174" s="80">
        <f t="shared" si="51"/>
        <v>6.2540123765685962E-2</v>
      </c>
      <c r="J174" s="80">
        <f t="shared" si="68"/>
        <v>7.8382421264995325E-2</v>
      </c>
      <c r="K174" s="81">
        <f t="shared" si="69"/>
        <v>1.1782469247001295E-2</v>
      </c>
      <c r="L174" s="5">
        <f t="shared" si="53"/>
        <v>0.02</v>
      </c>
      <c r="M174" s="80">
        <f t="shared" si="49"/>
        <v>-8.2175307529987057E-3</v>
      </c>
      <c r="N174" s="80">
        <f t="shared" si="54"/>
        <v>1.4779401120772213</v>
      </c>
      <c r="O174" s="6">
        <f t="shared" si="55"/>
        <v>1</v>
      </c>
      <c r="P174" s="6">
        <f t="shared" si="56"/>
        <v>0.02</v>
      </c>
      <c r="Q174" s="6">
        <f t="shared" si="57"/>
        <v>-8.2175307529987057E-3</v>
      </c>
      <c r="R174" s="6">
        <f t="shared" si="58"/>
        <v>-1.4277848185118664E-4</v>
      </c>
      <c r="S174" s="6">
        <f t="shared" si="59"/>
        <v>1.9885714285714288E-2</v>
      </c>
      <c r="T174" s="83">
        <f t="shared" si="60"/>
        <v>-8.1032450387129931E-3</v>
      </c>
      <c r="W174" s="80"/>
      <c r="X174" s="81">
        <f t="shared" si="50"/>
        <v>1.4879401120772213</v>
      </c>
      <c r="Y174">
        <f t="shared" si="61"/>
        <v>0.93161665597895293</v>
      </c>
      <c r="Z174" s="81">
        <f t="shared" si="62"/>
        <v>40.394228040143275</v>
      </c>
    </row>
    <row r="175" spans="1:26" hidden="1" x14ac:dyDescent="0.35">
      <c r="A175" s="36">
        <v>0.05</v>
      </c>
      <c r="B175" s="8">
        <v>0.03</v>
      </c>
      <c r="C175" s="5">
        <f t="shared" si="63"/>
        <v>3</v>
      </c>
      <c r="D175" s="81">
        <v>100</v>
      </c>
      <c r="E175" s="5">
        <f t="shared" si="64"/>
        <v>103</v>
      </c>
      <c r="F175" s="5">
        <f t="shared" si="65"/>
        <v>3</v>
      </c>
      <c r="G175" s="8">
        <f t="shared" si="66"/>
        <v>1.9947114020071637E-2</v>
      </c>
      <c r="H175" s="5">
        <f t="shared" si="67"/>
        <v>1.9947114020071637</v>
      </c>
      <c r="I175" s="80">
        <f t="shared" si="51"/>
        <v>0.86812128275973066</v>
      </c>
      <c r="J175" s="80">
        <f t="shared" si="68"/>
        <v>0.43521147063489485</v>
      </c>
      <c r="K175" s="81">
        <f t="shared" si="69"/>
        <v>3.606101986298979E-2</v>
      </c>
      <c r="L175" s="5">
        <f t="shared" si="53"/>
        <v>0.05</v>
      </c>
      <c r="M175" s="80">
        <f t="shared" si="49"/>
        <v>-1.3938980137010212E-2</v>
      </c>
      <c r="N175" s="80">
        <f t="shared" si="54"/>
        <v>0.59117604483088859</v>
      </c>
      <c r="O175" s="6">
        <f t="shared" si="55"/>
        <v>1</v>
      </c>
      <c r="P175" s="6">
        <f t="shared" si="56"/>
        <v>0.05</v>
      </c>
      <c r="Q175" s="6">
        <f t="shared" si="57"/>
        <v>-1.3938980137010212E-2</v>
      </c>
      <c r="R175" s="6">
        <f t="shared" si="58"/>
        <v>-8.9236551156991674E-4</v>
      </c>
      <c r="S175" s="6">
        <f t="shared" si="59"/>
        <v>4.9285714285714287E-2</v>
      </c>
      <c r="T175" s="83">
        <f t="shared" si="60"/>
        <v>-1.3224694422724496E-2</v>
      </c>
      <c r="W175" s="80"/>
      <c r="X175" s="81">
        <f t="shared" si="50"/>
        <v>0.61617604483088861</v>
      </c>
      <c r="Y175">
        <f t="shared" si="61"/>
        <v>0.73111083151967482</v>
      </c>
      <c r="Z175" s="81">
        <f t="shared" si="62"/>
        <v>40.394228040143275</v>
      </c>
    </row>
    <row r="176" spans="1:26" hidden="1" x14ac:dyDescent="0.35">
      <c r="A176" s="36">
        <v>0.08</v>
      </c>
      <c r="B176" s="8">
        <v>0.03</v>
      </c>
      <c r="C176" s="5">
        <f t="shared" si="63"/>
        <v>3</v>
      </c>
      <c r="D176" s="81">
        <v>100</v>
      </c>
      <c r="E176" s="5">
        <f t="shared" si="64"/>
        <v>103</v>
      </c>
      <c r="F176" s="5">
        <f t="shared" si="65"/>
        <v>3</v>
      </c>
      <c r="G176" s="8">
        <f t="shared" si="66"/>
        <v>3.1915382432114614E-2</v>
      </c>
      <c r="H176" s="5">
        <f t="shared" si="67"/>
        <v>3.1915382432114612</v>
      </c>
      <c r="I176" s="80">
        <f t="shared" si="51"/>
        <v>1.9569922081677333</v>
      </c>
      <c r="J176" s="80">
        <f t="shared" si="68"/>
        <v>0.61318150027822471</v>
      </c>
      <c r="K176" s="81">
        <f t="shared" si="69"/>
        <v>6.1337864503019784E-2</v>
      </c>
      <c r="L176" s="5">
        <f t="shared" si="53"/>
        <v>0.08</v>
      </c>
      <c r="M176" s="80">
        <f t="shared" si="49"/>
        <v>-1.8662135496980217E-2</v>
      </c>
      <c r="N176" s="80">
        <f t="shared" si="54"/>
        <v>0.36948502801930533</v>
      </c>
      <c r="O176" s="6">
        <f t="shared" si="55"/>
        <v>1</v>
      </c>
      <c r="P176" s="6">
        <f t="shared" si="56"/>
        <v>0.08</v>
      </c>
      <c r="Q176" s="6">
        <f t="shared" si="57"/>
        <v>-1.8662135496980217E-2</v>
      </c>
      <c r="R176" s="6">
        <f t="shared" si="58"/>
        <v>-2.2844557096189863E-3</v>
      </c>
      <c r="S176" s="6">
        <f t="shared" si="59"/>
        <v>7.8171428571428572E-2</v>
      </c>
      <c r="T176" s="83">
        <f t="shared" si="60"/>
        <v>-1.6833564068408788E-2</v>
      </c>
      <c r="W176" s="80"/>
      <c r="X176" s="81">
        <f t="shared" si="50"/>
        <v>0.40948502801930531</v>
      </c>
      <c r="Y176">
        <f t="shared" si="61"/>
        <v>0.65890812401527421</v>
      </c>
      <c r="Z176" s="81">
        <f t="shared" si="62"/>
        <v>40.394228040143275</v>
      </c>
    </row>
    <row r="177" spans="1:26" hidden="1" x14ac:dyDescent="0.35">
      <c r="A177" s="36">
        <v>0.1</v>
      </c>
      <c r="B177" s="8">
        <v>0.03</v>
      </c>
      <c r="C177" s="5">
        <f t="shared" si="63"/>
        <v>3</v>
      </c>
      <c r="D177" s="81">
        <v>100</v>
      </c>
      <c r="E177" s="5">
        <f t="shared" si="64"/>
        <v>103</v>
      </c>
      <c r="F177" s="5">
        <f t="shared" si="65"/>
        <v>3</v>
      </c>
      <c r="G177" s="8">
        <f t="shared" si="66"/>
        <v>3.9894228040143274E-2</v>
      </c>
      <c r="H177" s="5">
        <f t="shared" si="67"/>
        <v>3.9894228040143274</v>
      </c>
      <c r="I177" s="80">
        <f t="shared" si="51"/>
        <v>2.7229621445706016</v>
      </c>
      <c r="J177" s="80">
        <f t="shared" si="68"/>
        <v>0.68254539023305349</v>
      </c>
      <c r="K177" s="81">
        <f t="shared" si="69"/>
        <v>7.8549196693483314E-2</v>
      </c>
      <c r="L177" s="5">
        <f t="shared" si="53"/>
        <v>0.1</v>
      </c>
      <c r="M177" s="80">
        <f t="shared" si="49"/>
        <v>-2.1450803306516691E-2</v>
      </c>
      <c r="N177" s="80">
        <f t="shared" si="54"/>
        <v>0.2955880224154443</v>
      </c>
      <c r="O177" s="6">
        <f t="shared" si="55"/>
        <v>1</v>
      </c>
      <c r="P177" s="6">
        <f t="shared" si="56"/>
        <v>0.1</v>
      </c>
      <c r="Q177" s="6">
        <f t="shared" si="57"/>
        <v>-2.1450803306516691E-2</v>
      </c>
      <c r="R177" s="6">
        <f t="shared" si="58"/>
        <v>-3.569462046279667E-3</v>
      </c>
      <c r="S177" s="6">
        <f t="shared" si="59"/>
        <v>9.7142857142857142E-2</v>
      </c>
      <c r="T177" s="83">
        <f t="shared" si="60"/>
        <v>-1.8593660449373828E-2</v>
      </c>
      <c r="W177" s="80"/>
      <c r="X177" s="81">
        <f t="shared" si="50"/>
        <v>0.34558802241544428</v>
      </c>
      <c r="Y177">
        <f t="shared" si="61"/>
        <v>0.63517382565003588</v>
      </c>
      <c r="Z177" s="81">
        <f t="shared" si="62"/>
        <v>40.394228040143275</v>
      </c>
    </row>
    <row r="178" spans="1:26" hidden="1" x14ac:dyDescent="0.35">
      <c r="A178" s="36">
        <v>0.12</v>
      </c>
      <c r="B178" s="8">
        <v>0.03</v>
      </c>
      <c r="C178" s="5">
        <f t="shared" si="63"/>
        <v>3</v>
      </c>
      <c r="D178" s="81">
        <v>100</v>
      </c>
      <c r="E178" s="5">
        <f t="shared" si="64"/>
        <v>103</v>
      </c>
      <c r="F178" s="5">
        <f t="shared" si="65"/>
        <v>3</v>
      </c>
      <c r="G178" s="8">
        <f t="shared" si="66"/>
        <v>4.7873073648171921E-2</v>
      </c>
      <c r="H178" s="5">
        <f t="shared" si="67"/>
        <v>4.7873073648171918</v>
      </c>
      <c r="I178" s="80">
        <f t="shared" si="51"/>
        <v>3.5025990548682913</v>
      </c>
      <c r="J178" s="80">
        <f t="shared" si="68"/>
        <v>0.7316428188023899</v>
      </c>
      <c r="K178" s="81">
        <f t="shared" si="69"/>
        <v>9.6011417965361737E-2</v>
      </c>
      <c r="L178" s="5">
        <f t="shared" si="53"/>
        <v>0.12</v>
      </c>
      <c r="M178" s="80">
        <f t="shared" si="49"/>
        <v>-2.3988582034638259E-2</v>
      </c>
      <c r="N178" s="80">
        <f t="shared" si="54"/>
        <v>0.24632335201287026</v>
      </c>
      <c r="O178" s="6">
        <f t="shared" si="55"/>
        <v>1</v>
      </c>
      <c r="P178" s="6">
        <f t="shared" si="56"/>
        <v>0.12</v>
      </c>
      <c r="Q178" s="6">
        <f t="shared" si="57"/>
        <v>-2.3988582034638259E-2</v>
      </c>
      <c r="R178" s="6">
        <f t="shared" si="58"/>
        <v>-5.1400253466427192E-3</v>
      </c>
      <c r="S178" s="6">
        <f t="shared" si="59"/>
        <v>0.11588571428571429</v>
      </c>
      <c r="T178" s="83">
        <f t="shared" si="60"/>
        <v>-1.987429632035255E-2</v>
      </c>
      <c r="W178" s="80"/>
      <c r="X178" s="81">
        <f t="shared" si="50"/>
        <v>0.30632335201287025</v>
      </c>
      <c r="Y178">
        <f t="shared" si="61"/>
        <v>0.62032076954045867</v>
      </c>
      <c r="Z178" s="81">
        <f t="shared" si="62"/>
        <v>40.394228040143275</v>
      </c>
    </row>
    <row r="179" spans="1:26" hidden="1" x14ac:dyDescent="0.35">
      <c r="A179" s="36">
        <v>0.15</v>
      </c>
      <c r="B179" s="8">
        <v>0.03</v>
      </c>
      <c r="C179" s="5">
        <f t="shared" si="63"/>
        <v>3</v>
      </c>
      <c r="D179" s="81">
        <v>100</v>
      </c>
      <c r="E179" s="5">
        <f t="shared" si="64"/>
        <v>103</v>
      </c>
      <c r="F179" s="5">
        <f t="shared" si="65"/>
        <v>3</v>
      </c>
      <c r="G179" s="8">
        <f t="shared" si="66"/>
        <v>5.9841342060214901E-2</v>
      </c>
      <c r="H179" s="5">
        <f t="shared" si="67"/>
        <v>5.9841342060214897</v>
      </c>
      <c r="I179" s="80">
        <f t="shared" si="51"/>
        <v>4.6854169275089603</v>
      </c>
      <c r="J179" s="80">
        <f t="shared" si="68"/>
        <v>0.78297323659524465</v>
      </c>
      <c r="K179" s="81">
        <f t="shared" si="69"/>
        <v>0.12262076669692895</v>
      </c>
      <c r="L179" s="5">
        <f t="shared" si="53"/>
        <v>0.15</v>
      </c>
      <c r="M179" s="80">
        <f t="shared" si="49"/>
        <v>-2.7379233303071043E-2</v>
      </c>
      <c r="N179" s="80">
        <f t="shared" si="54"/>
        <v>0.19705868161029619</v>
      </c>
      <c r="O179" s="6">
        <f t="shared" si="55"/>
        <v>1</v>
      </c>
      <c r="P179" s="6">
        <f t="shared" si="56"/>
        <v>0.15</v>
      </c>
      <c r="Q179" s="6">
        <f t="shared" si="57"/>
        <v>-2.7379233303071043E-2</v>
      </c>
      <c r="R179" s="6">
        <f t="shared" si="58"/>
        <v>-8.0312896041292488E-3</v>
      </c>
      <c r="S179" s="6">
        <f t="shared" si="59"/>
        <v>0.14357142857142857</v>
      </c>
      <c r="T179" s="83">
        <f t="shared" si="60"/>
        <v>-2.0950661874499621E-2</v>
      </c>
      <c r="W179" s="80"/>
      <c r="X179" s="81">
        <f t="shared" si="50"/>
        <v>0.27205868161029617</v>
      </c>
      <c r="Y179">
        <f t="shared" si="61"/>
        <v>0.60721155054078713</v>
      </c>
      <c r="Z179" s="81">
        <f t="shared" si="62"/>
        <v>40.394228040143275</v>
      </c>
    </row>
    <row r="180" spans="1:26" hidden="1" x14ac:dyDescent="0.35">
      <c r="A180" s="36">
        <v>0.2</v>
      </c>
      <c r="B180" s="8">
        <v>0.03</v>
      </c>
      <c r="C180" s="5">
        <f t="shared" si="63"/>
        <v>3</v>
      </c>
      <c r="D180" s="81">
        <v>100</v>
      </c>
      <c r="E180" s="5">
        <f t="shared" si="64"/>
        <v>103</v>
      </c>
      <c r="F180" s="5">
        <f t="shared" si="65"/>
        <v>3</v>
      </c>
      <c r="G180" s="8">
        <f t="shared" si="66"/>
        <v>7.9788456080286549E-2</v>
      </c>
      <c r="H180" s="5">
        <f t="shared" si="67"/>
        <v>7.9788456080286547</v>
      </c>
      <c r="I180" s="80">
        <f t="shared" si="51"/>
        <v>6.6728903491786582</v>
      </c>
      <c r="J180" s="80">
        <f t="shared" si="68"/>
        <v>0.8363227811381776</v>
      </c>
      <c r="K180" s="81">
        <f t="shared" si="69"/>
        <v>0.16784095793248308</v>
      </c>
      <c r="L180" s="5">
        <f t="shared" si="53"/>
        <v>0.2</v>
      </c>
      <c r="M180" s="80">
        <f t="shared" si="49"/>
        <v>-3.2159042067516935E-2</v>
      </c>
      <c r="N180" s="80">
        <f t="shared" si="54"/>
        <v>0.14779401120772215</v>
      </c>
      <c r="O180" s="6">
        <f t="shared" si="55"/>
        <v>1</v>
      </c>
      <c r="P180" s="6">
        <f t="shared" si="56"/>
        <v>0.2</v>
      </c>
      <c r="Q180" s="6">
        <f t="shared" si="57"/>
        <v>-3.2159042067516935E-2</v>
      </c>
      <c r="R180" s="6">
        <f t="shared" si="58"/>
        <v>-1.4277848185118668E-2</v>
      </c>
      <c r="S180" s="6">
        <f t="shared" si="59"/>
        <v>0.18857142857142858</v>
      </c>
      <c r="T180" s="83">
        <f t="shared" si="60"/>
        <v>-2.0730470638945508E-2</v>
      </c>
      <c r="W180" s="80"/>
      <c r="X180" s="81">
        <f t="shared" si="50"/>
        <v>0.24779401120772215</v>
      </c>
      <c r="Y180">
        <f t="shared" si="61"/>
        <v>0.59785310559022686</v>
      </c>
      <c r="Z180" s="81">
        <f t="shared" si="62"/>
        <v>40.394228040143275</v>
      </c>
    </row>
    <row r="181" spans="1:26" hidden="1" x14ac:dyDescent="0.35">
      <c r="A181" s="36">
        <v>0.25</v>
      </c>
      <c r="B181" s="8">
        <v>0.03</v>
      </c>
      <c r="C181" s="5">
        <f t="shared" si="63"/>
        <v>3</v>
      </c>
      <c r="D181" s="81">
        <v>100</v>
      </c>
      <c r="E181" s="5">
        <f t="shared" si="64"/>
        <v>103</v>
      </c>
      <c r="F181" s="5">
        <f t="shared" si="65"/>
        <v>3</v>
      </c>
      <c r="G181" s="8">
        <f t="shared" si="66"/>
        <v>9.9735570100358176E-2</v>
      </c>
      <c r="H181" s="5">
        <f t="shared" si="67"/>
        <v>9.9735570100358171</v>
      </c>
      <c r="I181" s="80">
        <f t="shared" si="51"/>
        <v>8.6669796228192055</v>
      </c>
      <c r="J181" s="80">
        <f t="shared" si="68"/>
        <v>0.86899584712837374</v>
      </c>
      <c r="K181" s="81">
        <f t="shared" si="69"/>
        <v>0.21364944694805552</v>
      </c>
      <c r="L181" s="5">
        <f t="shared" si="53"/>
        <v>0.25</v>
      </c>
      <c r="M181" s="80">
        <f t="shared" si="49"/>
        <v>-3.6350553051944484E-2</v>
      </c>
      <c r="N181" s="80">
        <f t="shared" si="54"/>
        <v>0.11823520896617772</v>
      </c>
      <c r="O181" s="6">
        <f t="shared" si="55"/>
        <v>1</v>
      </c>
      <c r="P181" s="6">
        <f t="shared" si="56"/>
        <v>0.25</v>
      </c>
      <c r="Q181" s="6">
        <f t="shared" si="57"/>
        <v>-3.6350553051944484E-2</v>
      </c>
      <c r="R181" s="6">
        <f t="shared" si="58"/>
        <v>-2.2309137789247913E-2</v>
      </c>
      <c r="S181" s="6">
        <f t="shared" si="59"/>
        <v>0.23214285714285715</v>
      </c>
      <c r="T181" s="83">
        <f t="shared" si="60"/>
        <v>-1.8493410194801635E-2</v>
      </c>
      <c r="W181" s="80"/>
      <c r="X181" s="81">
        <f t="shared" si="50"/>
        <v>0.24323520896617773</v>
      </c>
      <c r="Y181">
        <f t="shared" si="61"/>
        <v>0.59608840354389203</v>
      </c>
      <c r="Z181" s="81">
        <f t="shared" si="62"/>
        <v>40.394228040143275</v>
      </c>
    </row>
    <row r="182" spans="1:26" hidden="1" x14ac:dyDescent="0.35">
      <c r="A182" s="36">
        <v>0.3</v>
      </c>
      <c r="B182" s="8">
        <v>0.03</v>
      </c>
      <c r="C182" s="5">
        <f t="shared" si="63"/>
        <v>3</v>
      </c>
      <c r="D182" s="81">
        <v>100</v>
      </c>
      <c r="E182" s="5">
        <f t="shared" si="64"/>
        <v>103</v>
      </c>
      <c r="F182" s="5">
        <f t="shared" si="65"/>
        <v>3</v>
      </c>
      <c r="G182" s="8">
        <f t="shared" si="66"/>
        <v>0.1196826841204298</v>
      </c>
      <c r="H182" s="5">
        <f t="shared" si="67"/>
        <v>11.968268412042979</v>
      </c>
      <c r="I182" s="80">
        <f t="shared" si="51"/>
        <v>10.660645053505782</v>
      </c>
      <c r="J182" s="80">
        <f t="shared" si="68"/>
        <v>0.89074247723075695</v>
      </c>
      <c r="K182" s="81">
        <f t="shared" si="69"/>
        <v>0.2592914498918551</v>
      </c>
      <c r="L182" s="5">
        <f t="shared" si="53"/>
        <v>0.3</v>
      </c>
      <c r="M182" s="80">
        <f t="shared" si="49"/>
        <v>-4.0708550108144892E-2</v>
      </c>
      <c r="N182" s="80">
        <f t="shared" si="54"/>
        <v>9.8529340805148094E-2</v>
      </c>
      <c r="O182" s="6">
        <f t="shared" si="55"/>
        <v>1</v>
      </c>
      <c r="P182" s="6">
        <f t="shared" si="56"/>
        <v>0.3</v>
      </c>
      <c r="Q182" s="6">
        <f t="shared" si="57"/>
        <v>-4.0708550108144892E-2</v>
      </c>
      <c r="R182" s="6">
        <f t="shared" si="58"/>
        <v>-3.2125158416516995E-2</v>
      </c>
      <c r="S182" s="6">
        <f t="shared" si="59"/>
        <v>0.2742857142857143</v>
      </c>
      <c r="T182" s="83">
        <f t="shared" si="60"/>
        <v>-1.4994264393859202E-2</v>
      </c>
      <c r="W182" s="80"/>
      <c r="X182" s="81">
        <f t="shared" si="50"/>
        <v>0.2485293408051481</v>
      </c>
      <c r="Y182">
        <f t="shared" si="61"/>
        <v>0.5981375643162361</v>
      </c>
      <c r="Z182" s="81">
        <f t="shared" si="62"/>
        <v>40.394228040143275</v>
      </c>
    </row>
    <row r="183" spans="1:26" hidden="1" x14ac:dyDescent="0.35">
      <c r="A183" s="36">
        <v>0.35</v>
      </c>
      <c r="B183" s="8">
        <v>0.03</v>
      </c>
      <c r="C183" s="5">
        <f t="shared" si="63"/>
        <v>3</v>
      </c>
      <c r="D183" s="81">
        <v>100</v>
      </c>
      <c r="E183" s="5">
        <f t="shared" si="64"/>
        <v>103</v>
      </c>
      <c r="F183" s="5">
        <f t="shared" si="65"/>
        <v>3</v>
      </c>
      <c r="G183" s="8">
        <f t="shared" si="66"/>
        <v>0.13962979814050144</v>
      </c>
      <c r="H183" s="5">
        <f t="shared" si="67"/>
        <v>13.962979814050144</v>
      </c>
      <c r="I183" s="80">
        <f t="shared" si="51"/>
        <v>12.650156993135234</v>
      </c>
      <c r="J183" s="80">
        <f t="shared" si="68"/>
        <v>0.90597831992896727</v>
      </c>
      <c r="K183" s="81">
        <f t="shared" si="69"/>
        <v>0.30382853527999076</v>
      </c>
      <c r="L183" s="5">
        <f t="shared" si="53"/>
        <v>0.35</v>
      </c>
      <c r="M183" s="80">
        <f t="shared" si="49"/>
        <v>-4.6171464720009214E-2</v>
      </c>
      <c r="N183" s="80">
        <f t="shared" si="54"/>
        <v>8.4453720690126952E-2</v>
      </c>
      <c r="O183" s="6">
        <f t="shared" si="55"/>
        <v>1</v>
      </c>
      <c r="P183" s="6">
        <f t="shared" si="56"/>
        <v>0.35</v>
      </c>
      <c r="Q183" s="6">
        <f t="shared" si="57"/>
        <v>-4.6171464720009214E-2</v>
      </c>
      <c r="R183" s="6">
        <f t="shared" si="58"/>
        <v>-4.3725910066925902E-2</v>
      </c>
      <c r="S183" s="6">
        <f t="shared" si="59"/>
        <v>0.315</v>
      </c>
      <c r="T183" s="83">
        <f t="shared" si="60"/>
        <v>-1.1171464720009239E-2</v>
      </c>
      <c r="W183" s="80"/>
      <c r="X183" s="81">
        <f t="shared" si="50"/>
        <v>0.25945372069012695</v>
      </c>
      <c r="Y183">
        <f t="shared" si="61"/>
        <v>0.60235740740429433</v>
      </c>
      <c r="Z183" s="81">
        <f t="shared" si="62"/>
        <v>40.394228040143275</v>
      </c>
    </row>
    <row r="184" spans="1:26" hidden="1" x14ac:dyDescent="0.35">
      <c r="A184" s="36">
        <v>0.4</v>
      </c>
      <c r="B184" s="8">
        <v>0.03</v>
      </c>
      <c r="C184" s="5">
        <f t="shared" si="63"/>
        <v>3</v>
      </c>
      <c r="D184" s="81">
        <v>100</v>
      </c>
      <c r="E184" s="5">
        <f t="shared" si="64"/>
        <v>103</v>
      </c>
      <c r="F184" s="5">
        <f t="shared" si="65"/>
        <v>3</v>
      </c>
      <c r="G184" s="8">
        <f t="shared" si="66"/>
        <v>0.1595769121605731</v>
      </c>
      <c r="H184" s="5">
        <f t="shared" si="67"/>
        <v>15.957691216057309</v>
      </c>
      <c r="I184" s="80">
        <f t="shared" si="51"/>
        <v>14.633045839826067</v>
      </c>
      <c r="J184" s="80">
        <f t="shared" si="68"/>
        <v>0.91699016115198873</v>
      </c>
      <c r="K184" s="81">
        <f t="shared" si="69"/>
        <v>0.34618632307633151</v>
      </c>
      <c r="L184" s="5">
        <f t="shared" si="53"/>
        <v>0.4</v>
      </c>
      <c r="M184" s="80">
        <f t="shared" si="49"/>
        <v>-5.3813676923668508E-2</v>
      </c>
      <c r="N184" s="80">
        <f t="shared" si="54"/>
        <v>7.3897005603861074E-2</v>
      </c>
      <c r="O184" s="6">
        <f t="shared" si="55"/>
        <v>1</v>
      </c>
      <c r="P184" s="6">
        <f t="shared" si="56"/>
        <v>0.4</v>
      </c>
      <c r="Q184" s="6">
        <f t="shared" si="57"/>
        <v>-5.3813676923668508E-2</v>
      </c>
      <c r="R184" s="6">
        <f t="shared" si="58"/>
        <v>-5.7111392740474672E-2</v>
      </c>
      <c r="S184" s="6">
        <f t="shared" si="59"/>
        <v>0.35428571428571431</v>
      </c>
      <c r="T184" s="83">
        <f t="shared" si="60"/>
        <v>-8.0993912093828002E-3</v>
      </c>
      <c r="W184" s="80"/>
      <c r="X184" s="81">
        <f t="shared" si="50"/>
        <v>0.2738970056038611</v>
      </c>
      <c r="Y184">
        <f t="shared" si="61"/>
        <v>0.60791811359536774</v>
      </c>
      <c r="Z184" s="81">
        <f t="shared" si="62"/>
        <v>40.394228040143275</v>
      </c>
    </row>
    <row r="185" spans="1:26" hidden="1" x14ac:dyDescent="0.35">
      <c r="A185" s="36">
        <v>0.5</v>
      </c>
      <c r="B185" s="8">
        <v>0.03</v>
      </c>
      <c r="C185" s="5">
        <f t="shared" si="63"/>
        <v>3</v>
      </c>
      <c r="D185" s="81">
        <v>100</v>
      </c>
      <c r="E185" s="5">
        <f t="shared" si="64"/>
        <v>103</v>
      </c>
      <c r="F185" s="5">
        <f t="shared" si="65"/>
        <v>3</v>
      </c>
      <c r="G185" s="8">
        <f t="shared" si="66"/>
        <v>0.19947114020071635</v>
      </c>
      <c r="H185" s="5">
        <f t="shared" si="67"/>
        <v>19.947114020071634</v>
      </c>
      <c r="I185" s="80">
        <f t="shared" si="51"/>
        <v>18.571661846316616</v>
      </c>
      <c r="J185" s="80">
        <f t="shared" si="68"/>
        <v>0.93104505381725999</v>
      </c>
      <c r="K185" s="81">
        <f t="shared" si="69"/>
        <v>0.41988808334427796</v>
      </c>
      <c r="L185" s="5">
        <f t="shared" si="53"/>
        <v>0.5</v>
      </c>
      <c r="M185" s="80">
        <f t="shared" si="49"/>
        <v>-8.0111916655722037E-2</v>
      </c>
      <c r="N185" s="80">
        <f t="shared" si="54"/>
        <v>5.9117604483088858E-2</v>
      </c>
      <c r="O185" s="6">
        <f t="shared" si="55"/>
        <v>1</v>
      </c>
      <c r="P185" s="6">
        <f t="shared" si="56"/>
        <v>0.5</v>
      </c>
      <c r="Q185" s="6">
        <f t="shared" si="57"/>
        <v>-8.0111916655722037E-2</v>
      </c>
      <c r="R185" s="6">
        <f t="shared" si="58"/>
        <v>-8.9236551156991653E-2</v>
      </c>
      <c r="S185" s="6">
        <f t="shared" si="59"/>
        <v>0.4285714285714286</v>
      </c>
      <c r="T185" s="83">
        <f t="shared" si="60"/>
        <v>-8.6833452271506406E-3</v>
      </c>
      <c r="W185" s="80"/>
      <c r="X185" s="81">
        <f t="shared" si="50"/>
        <v>0.30911760448308884</v>
      </c>
      <c r="Y185">
        <f t="shared" si="61"/>
        <v>0.6213839659423942</v>
      </c>
      <c r="Z185" s="81">
        <f t="shared" si="62"/>
        <v>40.394228040143275</v>
      </c>
    </row>
    <row r="186" spans="1:26" hidden="1" x14ac:dyDescent="0.35">
      <c r="A186" s="36">
        <v>0.6</v>
      </c>
      <c r="B186" s="8">
        <v>0.03</v>
      </c>
      <c r="C186" s="5">
        <f t="shared" si="63"/>
        <v>3</v>
      </c>
      <c r="D186" s="81">
        <v>100</v>
      </c>
      <c r="E186" s="5">
        <f t="shared" si="64"/>
        <v>103</v>
      </c>
      <c r="F186" s="5">
        <f t="shared" si="65"/>
        <v>3</v>
      </c>
      <c r="G186" s="8">
        <f t="shared" si="66"/>
        <v>0.23936536824085961</v>
      </c>
      <c r="H186" s="5">
        <f t="shared" si="67"/>
        <v>23.936536824085959</v>
      </c>
      <c r="I186" s="80">
        <f t="shared" si="51"/>
        <v>22.464195910329309</v>
      </c>
      <c r="J186" s="80">
        <f t="shared" si="68"/>
        <v>0.93848981059469228</v>
      </c>
      <c r="K186" s="81">
        <f t="shared" si="69"/>
        <v>0.47256537370700763</v>
      </c>
      <c r="L186" s="5">
        <f t="shared" si="53"/>
        <v>0.6</v>
      </c>
      <c r="M186" s="80">
        <f t="shared" si="49"/>
        <v>-0.12743462629299235</v>
      </c>
      <c r="N186" s="80">
        <f t="shared" si="54"/>
        <v>4.9264670402574047E-2</v>
      </c>
      <c r="O186" s="6">
        <f t="shared" si="55"/>
        <v>1</v>
      </c>
      <c r="P186" s="6">
        <f t="shared" si="56"/>
        <v>0.6</v>
      </c>
      <c r="Q186" s="6">
        <f t="shared" si="57"/>
        <v>-0.12743462629299235</v>
      </c>
      <c r="R186" s="6">
        <f t="shared" si="58"/>
        <v>-0.12850063366606798</v>
      </c>
      <c r="S186" s="6">
        <f t="shared" si="59"/>
        <v>0.49714285714285711</v>
      </c>
      <c r="T186" s="83">
        <f t="shared" si="60"/>
        <v>-2.4577483435849479E-2</v>
      </c>
      <c r="W186" s="80"/>
      <c r="X186" s="81">
        <f t="shared" si="50"/>
        <v>0.34926467040257403</v>
      </c>
      <c r="Y186">
        <f t="shared" si="61"/>
        <v>0.63655469035739587</v>
      </c>
      <c r="Z186" s="81">
        <f t="shared" si="62"/>
        <v>40.394228040143275</v>
      </c>
    </row>
    <row r="187" spans="1:26" hidden="1" x14ac:dyDescent="0.35">
      <c r="A187" s="36">
        <v>0.01</v>
      </c>
      <c r="B187" s="8">
        <v>0.04</v>
      </c>
      <c r="C187" s="5">
        <f t="shared" si="63"/>
        <v>4</v>
      </c>
      <c r="D187" s="81">
        <v>100</v>
      </c>
      <c r="E187" s="5">
        <f t="shared" si="64"/>
        <v>104</v>
      </c>
      <c r="F187" s="5">
        <f t="shared" si="65"/>
        <v>4</v>
      </c>
      <c r="G187" s="8">
        <f t="shared" si="66"/>
        <v>3.9894228040143268E-3</v>
      </c>
      <c r="H187" s="5">
        <f t="shared" si="67"/>
        <v>0.39894228040143265</v>
      </c>
      <c r="I187" s="80">
        <f t="shared" si="51"/>
        <v>1.0264420055250412E-5</v>
      </c>
      <c r="J187" s="80">
        <f t="shared" si="68"/>
        <v>2.5729085533180179E-5</v>
      </c>
      <c r="K187" s="81">
        <f t="shared" si="69"/>
        <v>3.7850512996527187E-3</v>
      </c>
      <c r="L187" s="5">
        <f t="shared" si="53"/>
        <v>0.01</v>
      </c>
      <c r="M187" s="80">
        <f t="shared" si="49"/>
        <v>-6.2149487003472816E-3</v>
      </c>
      <c r="N187" s="80">
        <f t="shared" si="54"/>
        <v>3.9220713153281328</v>
      </c>
      <c r="O187" s="6">
        <f t="shared" si="55"/>
        <v>0</v>
      </c>
      <c r="P187" s="6">
        <f t="shared" si="56"/>
        <v>0</v>
      </c>
      <c r="Q187" s="6">
        <f t="shared" si="57"/>
        <v>0</v>
      </c>
      <c r="R187" s="6">
        <f t="shared" si="58"/>
        <v>0</v>
      </c>
      <c r="S187" s="6">
        <f t="shared" si="59"/>
        <v>9.9777777777777781E-3</v>
      </c>
      <c r="T187" s="83">
        <f t="shared" si="60"/>
        <v>-6.1927264781250595E-3</v>
      </c>
      <c r="W187" s="80"/>
      <c r="X187" s="81">
        <f t="shared" si="50"/>
        <v>3.9270713153281327</v>
      </c>
      <c r="Y187">
        <f t="shared" si="61"/>
        <v>0.99995700675421972</v>
      </c>
      <c r="Z187" s="81">
        <f t="shared" si="62"/>
        <v>40.394228040143275</v>
      </c>
    </row>
    <row r="188" spans="1:26" hidden="1" x14ac:dyDescent="0.35">
      <c r="A188" s="36">
        <v>0.02</v>
      </c>
      <c r="B188" s="8">
        <v>0.04</v>
      </c>
      <c r="C188" s="5">
        <f t="shared" si="63"/>
        <v>4</v>
      </c>
      <c r="D188" s="81">
        <v>100</v>
      </c>
      <c r="E188" s="5">
        <f t="shared" si="64"/>
        <v>104</v>
      </c>
      <c r="F188" s="5">
        <f t="shared" si="65"/>
        <v>4</v>
      </c>
      <c r="G188" s="8">
        <f t="shared" si="66"/>
        <v>7.9788456080286535E-3</v>
      </c>
      <c r="H188" s="5">
        <f t="shared" si="67"/>
        <v>0.79788456080286529</v>
      </c>
      <c r="I188" s="80">
        <f t="shared" si="51"/>
        <v>1.9210746898636444E-2</v>
      </c>
      <c r="J188" s="80">
        <f t="shared" si="68"/>
        <v>2.4077100676450958E-2</v>
      </c>
      <c r="K188" s="81">
        <f t="shared" si="69"/>
        <v>1.0733949726739807E-2</v>
      </c>
      <c r="L188" s="5">
        <f t="shared" si="53"/>
        <v>0.02</v>
      </c>
      <c r="M188" s="80">
        <f t="shared" si="49"/>
        <v>-9.2660502732601936E-3</v>
      </c>
      <c r="N188" s="80">
        <f t="shared" si="54"/>
        <v>1.9610356576640664</v>
      </c>
      <c r="O188" s="6">
        <f t="shared" si="55"/>
        <v>0</v>
      </c>
      <c r="P188" s="6">
        <f t="shared" si="56"/>
        <v>0</v>
      </c>
      <c r="Q188" s="6">
        <f t="shared" si="57"/>
        <v>0</v>
      </c>
      <c r="R188" s="6">
        <f t="shared" si="58"/>
        <v>0</v>
      </c>
      <c r="S188" s="6">
        <f t="shared" si="59"/>
        <v>1.9911111111111112E-2</v>
      </c>
      <c r="T188" s="83">
        <f t="shared" si="60"/>
        <v>-9.1771613843713053E-3</v>
      </c>
      <c r="W188" s="80"/>
      <c r="X188" s="81">
        <f t="shared" si="50"/>
        <v>1.9710356576640664</v>
      </c>
      <c r="Y188">
        <f t="shared" si="61"/>
        <v>0.9756401013171726</v>
      </c>
      <c r="Z188" s="81">
        <f t="shared" si="62"/>
        <v>40.394228040143275</v>
      </c>
    </row>
    <row r="189" spans="1:26" hidden="1" x14ac:dyDescent="0.35">
      <c r="A189" s="36">
        <v>0.05</v>
      </c>
      <c r="B189" s="8">
        <v>0.04</v>
      </c>
      <c r="C189" s="5">
        <f t="shared" si="63"/>
        <v>4</v>
      </c>
      <c r="D189" s="81">
        <v>100</v>
      </c>
      <c r="E189" s="5">
        <f t="shared" si="64"/>
        <v>104</v>
      </c>
      <c r="F189" s="5">
        <f t="shared" si="65"/>
        <v>4</v>
      </c>
      <c r="G189" s="8">
        <f t="shared" si="66"/>
        <v>1.9947114020071637E-2</v>
      </c>
      <c r="H189" s="5">
        <f t="shared" si="67"/>
        <v>1.9947114020071637</v>
      </c>
      <c r="I189" s="80">
        <f t="shared" si="51"/>
        <v>0.62984036149755696</v>
      </c>
      <c r="J189" s="80">
        <f t="shared" si="68"/>
        <v>0.31575513172671732</v>
      </c>
      <c r="K189" s="81">
        <f t="shared" si="69"/>
        <v>3.4698479504969709E-2</v>
      </c>
      <c r="L189" s="5">
        <f t="shared" si="53"/>
        <v>0.05</v>
      </c>
      <c r="M189" s="80">
        <f t="shared" si="49"/>
        <v>-1.5301520495030294E-2</v>
      </c>
      <c r="N189" s="80">
        <f t="shared" si="54"/>
        <v>0.78441426306562656</v>
      </c>
      <c r="O189" s="6">
        <f t="shared" si="55"/>
        <v>0</v>
      </c>
      <c r="P189" s="6">
        <f t="shared" si="56"/>
        <v>0</v>
      </c>
      <c r="Q189" s="6">
        <f t="shared" si="57"/>
        <v>0</v>
      </c>
      <c r="R189" s="6">
        <f t="shared" si="58"/>
        <v>0</v>
      </c>
      <c r="S189" s="6">
        <f t="shared" si="59"/>
        <v>4.9444444444444444E-2</v>
      </c>
      <c r="T189" s="83">
        <f t="shared" si="60"/>
        <v>-1.4745964939474734E-2</v>
      </c>
      <c r="W189" s="80"/>
      <c r="X189" s="81">
        <f t="shared" si="50"/>
        <v>0.80941426306562658</v>
      </c>
      <c r="Y189">
        <f t="shared" si="61"/>
        <v>0.79086154962488775</v>
      </c>
      <c r="Z189" s="81">
        <f t="shared" si="62"/>
        <v>40.394228040143275</v>
      </c>
    </row>
    <row r="190" spans="1:26" hidden="1" x14ac:dyDescent="0.35">
      <c r="A190" s="36">
        <v>0.08</v>
      </c>
      <c r="B190" s="8">
        <v>0.04</v>
      </c>
      <c r="C190" s="5">
        <f t="shared" si="63"/>
        <v>4</v>
      </c>
      <c r="D190" s="81">
        <v>100</v>
      </c>
      <c r="E190" s="5">
        <f t="shared" si="64"/>
        <v>104</v>
      </c>
      <c r="F190" s="5">
        <f t="shared" si="65"/>
        <v>4</v>
      </c>
      <c r="G190" s="8">
        <f t="shared" si="66"/>
        <v>3.1915382432114614E-2</v>
      </c>
      <c r="H190" s="5">
        <f t="shared" si="67"/>
        <v>3.1915382432114612</v>
      </c>
      <c r="I190" s="80">
        <f t="shared" si="51"/>
        <v>1.6377017243958818</v>
      </c>
      <c r="J190" s="80">
        <f t="shared" si="68"/>
        <v>0.51313868097283299</v>
      </c>
      <c r="K190" s="81">
        <f t="shared" si="69"/>
        <v>5.995121735890771E-2</v>
      </c>
      <c r="L190" s="5">
        <f t="shared" si="53"/>
        <v>0.08</v>
      </c>
      <c r="M190" s="80">
        <f t="shared" si="49"/>
        <v>-2.0048782641092291E-2</v>
      </c>
      <c r="N190" s="80">
        <f t="shared" si="54"/>
        <v>0.4902589144160166</v>
      </c>
      <c r="O190" s="6">
        <f t="shared" si="55"/>
        <v>0</v>
      </c>
      <c r="P190" s="6">
        <f t="shared" si="56"/>
        <v>0</v>
      </c>
      <c r="Q190" s="6">
        <f t="shared" si="57"/>
        <v>0</v>
      </c>
      <c r="R190" s="6">
        <f t="shared" si="58"/>
        <v>0</v>
      </c>
      <c r="S190" s="6">
        <f t="shared" si="59"/>
        <v>7.8577777777777774E-2</v>
      </c>
      <c r="T190" s="83">
        <f t="shared" si="60"/>
        <v>-1.8626560418870064E-2</v>
      </c>
      <c r="W190" s="80"/>
      <c r="X190" s="81">
        <f t="shared" si="50"/>
        <v>0.53025891441601658</v>
      </c>
      <c r="Y190">
        <f t="shared" si="61"/>
        <v>0.70203378571656938</v>
      </c>
      <c r="Z190" s="81">
        <f t="shared" si="62"/>
        <v>40.394228040143275</v>
      </c>
    </row>
    <row r="191" spans="1:26" hidden="1" x14ac:dyDescent="0.35">
      <c r="A191" s="36">
        <v>0.1</v>
      </c>
      <c r="B191" s="8">
        <v>0.04</v>
      </c>
      <c r="C191" s="5">
        <f t="shared" si="63"/>
        <v>4</v>
      </c>
      <c r="D191" s="81">
        <v>100</v>
      </c>
      <c r="E191" s="5">
        <f t="shared" si="64"/>
        <v>104</v>
      </c>
      <c r="F191" s="5">
        <f t="shared" si="65"/>
        <v>4</v>
      </c>
      <c r="G191" s="8">
        <f t="shared" si="66"/>
        <v>3.9894228040143274E-2</v>
      </c>
      <c r="H191" s="5">
        <f t="shared" si="67"/>
        <v>3.9894228040143274</v>
      </c>
      <c r="I191" s="80">
        <f t="shared" si="51"/>
        <v>2.376105985444056</v>
      </c>
      <c r="J191" s="80">
        <f t="shared" si="68"/>
        <v>0.5956014446634027</v>
      </c>
      <c r="K191" s="81">
        <f t="shared" si="69"/>
        <v>7.7192724080311692E-2</v>
      </c>
      <c r="L191" s="5">
        <f t="shared" si="53"/>
        <v>0.1</v>
      </c>
      <c r="M191" s="80">
        <f t="shared" si="49"/>
        <v>-2.2807275919688313E-2</v>
      </c>
      <c r="N191" s="80">
        <f t="shared" si="54"/>
        <v>0.39220713153281328</v>
      </c>
      <c r="O191" s="6">
        <f t="shared" si="55"/>
        <v>0</v>
      </c>
      <c r="P191" s="6">
        <f t="shared" si="56"/>
        <v>0</v>
      </c>
      <c r="Q191" s="6">
        <f t="shared" si="57"/>
        <v>0</v>
      </c>
      <c r="R191" s="6">
        <f t="shared" si="58"/>
        <v>0</v>
      </c>
      <c r="S191" s="6">
        <f t="shared" si="59"/>
        <v>9.7777777777777783E-2</v>
      </c>
      <c r="T191" s="83">
        <f t="shared" si="60"/>
        <v>-2.0585053697466091E-2</v>
      </c>
      <c r="W191" s="80"/>
      <c r="X191" s="81">
        <f t="shared" si="50"/>
        <v>0.44220713153281327</v>
      </c>
      <c r="Y191">
        <f t="shared" si="61"/>
        <v>0.67083033702944106</v>
      </c>
      <c r="Z191" s="81">
        <f t="shared" si="62"/>
        <v>40.394228040143275</v>
      </c>
    </row>
    <row r="192" spans="1:26" hidden="1" x14ac:dyDescent="0.35">
      <c r="A192" s="36">
        <v>0.12</v>
      </c>
      <c r="B192" s="8">
        <v>0.04</v>
      </c>
      <c r="C192" s="5">
        <f t="shared" si="63"/>
        <v>4</v>
      </c>
      <c r="D192" s="81">
        <v>100</v>
      </c>
      <c r="E192" s="5">
        <f t="shared" si="64"/>
        <v>104</v>
      </c>
      <c r="F192" s="5">
        <f t="shared" si="65"/>
        <v>4</v>
      </c>
      <c r="G192" s="8">
        <f t="shared" si="66"/>
        <v>4.7873073648171921E-2</v>
      </c>
      <c r="H192" s="5">
        <f t="shared" si="67"/>
        <v>4.7873073648171918</v>
      </c>
      <c r="I192" s="80">
        <f t="shared" si="51"/>
        <v>3.1381353006464821</v>
      </c>
      <c r="J192" s="80">
        <f t="shared" si="68"/>
        <v>0.65551155618484402</v>
      </c>
      <c r="K192" s="81">
        <f t="shared" si="69"/>
        <v>9.4710569461820798E-2</v>
      </c>
      <c r="L192" s="5">
        <f t="shared" si="53"/>
        <v>0.12</v>
      </c>
      <c r="M192" s="80">
        <f t="shared" si="49"/>
        <v>-2.5289430538179197E-2</v>
      </c>
      <c r="N192" s="80">
        <f t="shared" si="54"/>
        <v>0.32683927627734444</v>
      </c>
      <c r="O192" s="6">
        <f t="shared" si="55"/>
        <v>0</v>
      </c>
      <c r="P192" s="6">
        <f t="shared" si="56"/>
        <v>0</v>
      </c>
      <c r="Q192" s="6">
        <f t="shared" si="57"/>
        <v>0</v>
      </c>
      <c r="R192" s="6">
        <f t="shared" si="58"/>
        <v>0</v>
      </c>
      <c r="S192" s="6">
        <f t="shared" si="59"/>
        <v>0.1168</v>
      </c>
      <c r="T192" s="83">
        <f t="shared" si="60"/>
        <v>-2.2089430538179203E-2</v>
      </c>
      <c r="W192" s="80"/>
      <c r="X192" s="81">
        <f t="shared" si="50"/>
        <v>0.38683927627734443</v>
      </c>
      <c r="Y192">
        <f t="shared" si="61"/>
        <v>0.65056240086481609</v>
      </c>
      <c r="Z192" s="81">
        <f t="shared" si="62"/>
        <v>40.394228040143275</v>
      </c>
    </row>
    <row r="193" spans="1:26" hidden="1" x14ac:dyDescent="0.35">
      <c r="A193" s="36">
        <v>0.15</v>
      </c>
      <c r="B193" s="8">
        <v>0.04</v>
      </c>
      <c r="C193" s="5">
        <f t="shared" si="63"/>
        <v>4</v>
      </c>
      <c r="D193" s="81">
        <v>100</v>
      </c>
      <c r="E193" s="5">
        <f t="shared" si="64"/>
        <v>104</v>
      </c>
      <c r="F193" s="5">
        <f t="shared" si="65"/>
        <v>4</v>
      </c>
      <c r="G193" s="8">
        <f t="shared" si="66"/>
        <v>5.9841342060214901E-2</v>
      </c>
      <c r="H193" s="5">
        <f t="shared" si="67"/>
        <v>5.9841342060214897</v>
      </c>
      <c r="I193" s="80">
        <f t="shared" si="51"/>
        <v>4.3049536633898242</v>
      </c>
      <c r="J193" s="80">
        <f t="shared" si="68"/>
        <v>0.71939457157528275</v>
      </c>
      <c r="K193" s="81">
        <f t="shared" si="69"/>
        <v>0.1214530791467261</v>
      </c>
      <c r="L193" s="5">
        <f t="shared" si="53"/>
        <v>0.15</v>
      </c>
      <c r="M193" s="80">
        <f t="shared" si="49"/>
        <v>-2.8546920853273899E-2</v>
      </c>
      <c r="N193" s="80">
        <f t="shared" si="54"/>
        <v>0.26147142102187554</v>
      </c>
      <c r="O193" s="6">
        <f t="shared" si="55"/>
        <v>0</v>
      </c>
      <c r="P193" s="6">
        <f t="shared" si="56"/>
        <v>0</v>
      </c>
      <c r="Q193" s="6">
        <f t="shared" si="57"/>
        <v>0</v>
      </c>
      <c r="R193" s="6">
        <f t="shared" si="58"/>
        <v>0</v>
      </c>
      <c r="S193" s="6">
        <f t="shared" si="59"/>
        <v>0.14499999999999999</v>
      </c>
      <c r="T193" s="83">
        <f t="shared" si="60"/>
        <v>-2.3546920853273895E-2</v>
      </c>
      <c r="W193" s="80"/>
      <c r="X193" s="81">
        <f t="shared" si="50"/>
        <v>0.33647142102187555</v>
      </c>
      <c r="Y193">
        <f t="shared" si="61"/>
        <v>0.63174230036651369</v>
      </c>
      <c r="Z193" s="81">
        <f t="shared" si="62"/>
        <v>40.394228040143275</v>
      </c>
    </row>
    <row r="194" spans="1:26" hidden="1" x14ac:dyDescent="0.35">
      <c r="A194" s="36">
        <v>0.2</v>
      </c>
      <c r="B194" s="8">
        <v>0.04</v>
      </c>
      <c r="C194" s="5">
        <f t="shared" si="63"/>
        <v>4</v>
      </c>
      <c r="D194" s="81">
        <v>100</v>
      </c>
      <c r="E194" s="5">
        <f t="shared" si="64"/>
        <v>104</v>
      </c>
      <c r="F194" s="5">
        <f t="shared" si="65"/>
        <v>4</v>
      </c>
      <c r="G194" s="8">
        <f t="shared" si="66"/>
        <v>7.9788456080286549E-2</v>
      </c>
      <c r="H194" s="5">
        <f t="shared" si="67"/>
        <v>7.9788456080286547</v>
      </c>
      <c r="I194" s="80">
        <f t="shared" si="51"/>
        <v>6.280064438175387</v>
      </c>
      <c r="J194" s="80">
        <f t="shared" si="68"/>
        <v>0.78708935436175353</v>
      </c>
      <c r="K194" s="81">
        <f t="shared" si="69"/>
        <v>0.16707495674247574</v>
      </c>
      <c r="L194" s="5">
        <f t="shared" si="53"/>
        <v>0.2</v>
      </c>
      <c r="M194" s="80">
        <f t="shared" si="49"/>
        <v>-3.2925043257524267E-2</v>
      </c>
      <c r="N194" s="80">
        <f t="shared" si="54"/>
        <v>0.19610356576640664</v>
      </c>
      <c r="O194" s="6">
        <f t="shared" si="55"/>
        <v>0</v>
      </c>
      <c r="P194" s="6">
        <f t="shared" si="56"/>
        <v>0</v>
      </c>
      <c r="Q194" s="6">
        <f t="shared" si="57"/>
        <v>0</v>
      </c>
      <c r="R194" s="6">
        <f t="shared" si="58"/>
        <v>0</v>
      </c>
      <c r="S194" s="6">
        <f t="shared" si="59"/>
        <v>0.19111111111111112</v>
      </c>
      <c r="T194" s="83">
        <f t="shared" si="60"/>
        <v>-2.4036154368635376E-2</v>
      </c>
      <c r="W194" s="80"/>
      <c r="X194" s="81">
        <f t="shared" si="50"/>
        <v>0.29610356576640662</v>
      </c>
      <c r="Y194">
        <f t="shared" si="61"/>
        <v>0.6164245045276433</v>
      </c>
      <c r="Z194" s="81">
        <f t="shared" si="62"/>
        <v>40.394228040143275</v>
      </c>
    </row>
    <row r="195" spans="1:26" hidden="1" x14ac:dyDescent="0.35">
      <c r="A195" s="36">
        <v>0.25</v>
      </c>
      <c r="B195" s="8">
        <v>0.04</v>
      </c>
      <c r="C195" s="5">
        <f t="shared" si="63"/>
        <v>4</v>
      </c>
      <c r="D195" s="81">
        <v>100</v>
      </c>
      <c r="E195" s="5">
        <f t="shared" si="64"/>
        <v>104</v>
      </c>
      <c r="F195" s="5">
        <f t="shared" si="65"/>
        <v>4</v>
      </c>
      <c r="G195" s="8">
        <f t="shared" si="66"/>
        <v>9.9735570100358176E-2</v>
      </c>
      <c r="H195" s="5">
        <f t="shared" si="67"/>
        <v>9.9735570100358171</v>
      </c>
      <c r="I195" s="80">
        <f t="shared" si="51"/>
        <v>8.2705400776707876</v>
      </c>
      <c r="J195" s="80">
        <f t="shared" si="68"/>
        <v>0.82924678420633868</v>
      </c>
      <c r="K195" s="81">
        <f t="shared" si="69"/>
        <v>0.21363244254657981</v>
      </c>
      <c r="L195" s="5">
        <f t="shared" si="53"/>
        <v>0.25</v>
      </c>
      <c r="M195" s="80">
        <f t="shared" si="49"/>
        <v>-3.6367557453420185E-2</v>
      </c>
      <c r="N195" s="80">
        <f t="shared" si="54"/>
        <v>0.15688285261312532</v>
      </c>
      <c r="O195" s="6">
        <f t="shared" si="55"/>
        <v>0</v>
      </c>
      <c r="P195" s="6">
        <f t="shared" si="56"/>
        <v>0</v>
      </c>
      <c r="Q195" s="6">
        <f t="shared" si="57"/>
        <v>0</v>
      </c>
      <c r="R195" s="6">
        <f t="shared" si="58"/>
        <v>0</v>
      </c>
      <c r="S195" s="6">
        <f t="shared" si="59"/>
        <v>0.2361111111111111</v>
      </c>
      <c r="T195" s="83">
        <f t="shared" si="60"/>
        <v>-2.247866856453129E-2</v>
      </c>
      <c r="W195" s="80"/>
      <c r="X195" s="81">
        <f t="shared" si="50"/>
        <v>0.28188285261312529</v>
      </c>
      <c r="Y195">
        <f t="shared" si="61"/>
        <v>0.61098333088125512</v>
      </c>
      <c r="Z195" s="81">
        <f t="shared" si="62"/>
        <v>40.394228040143275</v>
      </c>
    </row>
    <row r="196" spans="1:26" hidden="1" x14ac:dyDescent="0.35">
      <c r="A196" s="36">
        <v>0.3</v>
      </c>
      <c r="B196" s="8">
        <v>0.04</v>
      </c>
      <c r="C196" s="5">
        <f t="shared" si="63"/>
        <v>4</v>
      </c>
      <c r="D196" s="81">
        <v>100</v>
      </c>
      <c r="E196" s="5">
        <f t="shared" si="64"/>
        <v>104</v>
      </c>
      <c r="F196" s="5">
        <f t="shared" si="65"/>
        <v>4</v>
      </c>
      <c r="G196" s="8">
        <f t="shared" si="66"/>
        <v>0.1196826841204298</v>
      </c>
      <c r="H196" s="5">
        <f t="shared" si="67"/>
        <v>11.968268412042979</v>
      </c>
      <c r="I196" s="80">
        <f t="shared" si="51"/>
        <v>10.265004356131428</v>
      </c>
      <c r="J196" s="80">
        <f t="shared" si="68"/>
        <v>0.85768500527631419</v>
      </c>
      <c r="K196" s="81">
        <f t="shared" si="69"/>
        <v>0.26055513133041225</v>
      </c>
      <c r="L196" s="5">
        <f t="shared" si="53"/>
        <v>0.3</v>
      </c>
      <c r="M196" s="80">
        <f t="shared" si="49"/>
        <v>-3.944486866958774E-2</v>
      </c>
      <c r="N196" s="80">
        <f t="shared" si="54"/>
        <v>0.13073571051093777</v>
      </c>
      <c r="O196" s="6">
        <f t="shared" si="55"/>
        <v>0</v>
      </c>
      <c r="P196" s="6">
        <f t="shared" si="56"/>
        <v>0</v>
      </c>
      <c r="Q196" s="6">
        <f t="shared" si="57"/>
        <v>0</v>
      </c>
      <c r="R196" s="6">
        <f t="shared" si="58"/>
        <v>0</v>
      </c>
      <c r="S196" s="6">
        <f t="shared" si="59"/>
        <v>0.27999999999999997</v>
      </c>
      <c r="T196" s="83">
        <f t="shared" si="60"/>
        <v>-1.9444868669587723E-2</v>
      </c>
      <c r="W196" s="80"/>
      <c r="X196" s="81">
        <f t="shared" si="50"/>
        <v>0.28073571051093776</v>
      </c>
      <c r="Y196">
        <f t="shared" si="61"/>
        <v>0.61054344164469798</v>
      </c>
      <c r="Z196" s="81">
        <f t="shared" si="62"/>
        <v>40.394228040143275</v>
      </c>
    </row>
    <row r="197" spans="1:26" hidden="1" x14ac:dyDescent="0.35">
      <c r="A197" s="36">
        <v>0.35</v>
      </c>
      <c r="B197" s="8">
        <v>0.04</v>
      </c>
      <c r="C197" s="5">
        <f t="shared" si="63"/>
        <v>4</v>
      </c>
      <c r="D197" s="81">
        <v>100</v>
      </c>
      <c r="E197" s="5">
        <f t="shared" si="64"/>
        <v>104</v>
      </c>
      <c r="F197" s="5">
        <f t="shared" si="65"/>
        <v>4</v>
      </c>
      <c r="G197" s="8">
        <f t="shared" si="66"/>
        <v>0.13962979814050144</v>
      </c>
      <c r="H197" s="5">
        <f t="shared" si="67"/>
        <v>13.962979814050144</v>
      </c>
      <c r="I197" s="80">
        <f t="shared" si="51"/>
        <v>12.257834156104181</v>
      </c>
      <c r="J197" s="80">
        <f t="shared" si="68"/>
        <v>0.87788096232652491</v>
      </c>
      <c r="K197" s="81">
        <f t="shared" si="69"/>
        <v>0.30711523166499211</v>
      </c>
      <c r="L197" s="5">
        <f t="shared" si="53"/>
        <v>0.35</v>
      </c>
      <c r="M197" s="80">
        <f t="shared" si="49"/>
        <v>-4.2884768335007872E-2</v>
      </c>
      <c r="N197" s="80">
        <f t="shared" si="54"/>
        <v>0.11205918043794666</v>
      </c>
      <c r="O197" s="6">
        <f t="shared" si="55"/>
        <v>0</v>
      </c>
      <c r="P197" s="6">
        <f t="shared" si="56"/>
        <v>0</v>
      </c>
      <c r="Q197" s="6">
        <f t="shared" si="57"/>
        <v>0</v>
      </c>
      <c r="R197" s="6">
        <f t="shared" si="58"/>
        <v>0</v>
      </c>
      <c r="S197" s="6">
        <f t="shared" si="59"/>
        <v>0.32277777777777777</v>
      </c>
      <c r="T197" s="83">
        <f t="shared" si="60"/>
        <v>-1.5662546112785669E-2</v>
      </c>
      <c r="W197" s="80"/>
      <c r="X197" s="81">
        <f t="shared" si="50"/>
        <v>0.28705918043794665</v>
      </c>
      <c r="Y197">
        <f t="shared" si="61"/>
        <v>0.61296649667153857</v>
      </c>
      <c r="Z197" s="81">
        <f t="shared" si="62"/>
        <v>40.394228040143275</v>
      </c>
    </row>
    <row r="198" spans="1:26" hidden="1" x14ac:dyDescent="0.35">
      <c r="A198" s="36">
        <v>0.4</v>
      </c>
      <c r="B198" s="8">
        <v>0.04</v>
      </c>
      <c r="C198" s="5">
        <f t="shared" si="63"/>
        <v>4</v>
      </c>
      <c r="D198" s="81">
        <v>100</v>
      </c>
      <c r="E198" s="5">
        <f t="shared" si="64"/>
        <v>104</v>
      </c>
      <c r="F198" s="5">
        <f t="shared" si="65"/>
        <v>4</v>
      </c>
      <c r="G198" s="8">
        <f t="shared" si="66"/>
        <v>0.1595769121605731</v>
      </c>
      <c r="H198" s="5">
        <f t="shared" si="67"/>
        <v>15.957691216057309</v>
      </c>
      <c r="I198" s="80">
        <f t="shared" si="51"/>
        <v>14.245601758626464</v>
      </c>
      <c r="J198" s="80">
        <f t="shared" si="68"/>
        <v>0.89271070393265484</v>
      </c>
      <c r="K198" s="81">
        <f t="shared" si="69"/>
        <v>0.35244554364156044</v>
      </c>
      <c r="L198" s="5">
        <f t="shared" si="53"/>
        <v>0.4</v>
      </c>
      <c r="M198" s="80">
        <f t="shared" si="49"/>
        <v>-4.7554456358439579E-2</v>
      </c>
      <c r="N198" s="80">
        <f t="shared" si="54"/>
        <v>9.805178288320332E-2</v>
      </c>
      <c r="O198" s="6">
        <f t="shared" si="55"/>
        <v>0</v>
      </c>
      <c r="P198" s="6">
        <f t="shared" si="56"/>
        <v>0</v>
      </c>
      <c r="Q198" s="6">
        <f t="shared" si="57"/>
        <v>0</v>
      </c>
      <c r="R198" s="6">
        <f t="shared" si="58"/>
        <v>0</v>
      </c>
      <c r="S198" s="6">
        <f t="shared" si="59"/>
        <v>0.36444444444444446</v>
      </c>
      <c r="T198" s="83">
        <f t="shared" si="60"/>
        <v>-1.1998900802884016E-2</v>
      </c>
      <c r="W198" s="80"/>
      <c r="X198" s="81">
        <f t="shared" si="50"/>
        <v>0.29805178288320333</v>
      </c>
      <c r="Y198">
        <f t="shared" si="61"/>
        <v>0.61716817921018907</v>
      </c>
      <c r="Z198" s="81">
        <f t="shared" si="62"/>
        <v>40.394228040143275</v>
      </c>
    </row>
    <row r="199" spans="1:26" hidden="1" x14ac:dyDescent="0.35">
      <c r="A199" s="36">
        <v>0.5</v>
      </c>
      <c r="B199" s="8">
        <v>0.04</v>
      </c>
      <c r="C199" s="5">
        <f t="shared" si="63"/>
        <v>4</v>
      </c>
      <c r="D199" s="81">
        <v>100</v>
      </c>
      <c r="E199" s="5">
        <f t="shared" si="64"/>
        <v>104</v>
      </c>
      <c r="F199" s="5">
        <f t="shared" si="65"/>
        <v>4</v>
      </c>
      <c r="G199" s="8">
        <f t="shared" si="66"/>
        <v>0.19947114020071635</v>
      </c>
      <c r="H199" s="5">
        <f t="shared" si="67"/>
        <v>19.947114020071634</v>
      </c>
      <c r="I199" s="80">
        <f t="shared" si="51"/>
        <v>18.19671900873513</v>
      </c>
      <c r="J199" s="80">
        <f t="shared" si="68"/>
        <v>0.91224820745621737</v>
      </c>
      <c r="K199" s="81">
        <f t="shared" si="69"/>
        <v>0.43552504332598652</v>
      </c>
      <c r="L199" s="5">
        <f t="shared" si="53"/>
        <v>0.5</v>
      </c>
      <c r="M199" s="80">
        <f t="shared" si="49"/>
        <v>-6.4474956674013484E-2</v>
      </c>
      <c r="N199" s="80">
        <f t="shared" si="54"/>
        <v>7.8441426306562659E-2</v>
      </c>
      <c r="O199" s="6">
        <f t="shared" si="55"/>
        <v>0</v>
      </c>
      <c r="P199" s="6">
        <f t="shared" si="56"/>
        <v>0</v>
      </c>
      <c r="Q199" s="6">
        <f t="shared" si="57"/>
        <v>0</v>
      </c>
      <c r="R199" s="6">
        <f t="shared" si="58"/>
        <v>0</v>
      </c>
      <c r="S199" s="6">
        <f t="shared" si="59"/>
        <v>0.44444444444444442</v>
      </c>
      <c r="T199" s="83">
        <f t="shared" si="60"/>
        <v>-8.9194011184579036E-3</v>
      </c>
      <c r="W199" s="80"/>
      <c r="X199" s="81">
        <f t="shared" si="50"/>
        <v>0.32844142630656264</v>
      </c>
      <c r="Y199">
        <f t="shared" si="61"/>
        <v>0.62871103753105351</v>
      </c>
      <c r="Z199" s="81">
        <f t="shared" si="62"/>
        <v>40.394228040143275</v>
      </c>
    </row>
    <row r="200" spans="1:26" hidden="1" x14ac:dyDescent="0.35">
      <c r="A200" s="36">
        <v>0.6</v>
      </c>
      <c r="B200" s="8">
        <v>0.04</v>
      </c>
      <c r="C200" s="5">
        <f t="shared" si="63"/>
        <v>4</v>
      </c>
      <c r="D200" s="81">
        <v>100</v>
      </c>
      <c r="E200" s="5">
        <f t="shared" si="64"/>
        <v>104</v>
      </c>
      <c r="F200" s="5">
        <f t="shared" si="65"/>
        <v>4</v>
      </c>
      <c r="G200" s="8">
        <f t="shared" si="66"/>
        <v>0.23936536824085961</v>
      </c>
      <c r="H200" s="5">
        <f t="shared" si="67"/>
        <v>23.936536824085959</v>
      </c>
      <c r="I200" s="80">
        <f t="shared" si="51"/>
        <v>22.103771789738467</v>
      </c>
      <c r="J200" s="80">
        <f t="shared" si="68"/>
        <v>0.92343232240249196</v>
      </c>
      <c r="K200" s="81">
        <f t="shared" si="69"/>
        <v>0.50214815316048333</v>
      </c>
      <c r="L200" s="5">
        <f t="shared" si="53"/>
        <v>0.6</v>
      </c>
      <c r="M200" s="80">
        <f t="shared" si="49"/>
        <v>-9.7851846839516643E-2</v>
      </c>
      <c r="N200" s="80">
        <f t="shared" si="54"/>
        <v>6.5367855255468885E-2</v>
      </c>
      <c r="O200" s="6">
        <f t="shared" si="55"/>
        <v>0</v>
      </c>
      <c r="P200" s="6">
        <f t="shared" si="56"/>
        <v>0</v>
      </c>
      <c r="Q200" s="6">
        <f t="shared" si="57"/>
        <v>0</v>
      </c>
      <c r="R200" s="6">
        <f t="shared" si="58"/>
        <v>0</v>
      </c>
      <c r="S200" s="6">
        <f t="shared" si="59"/>
        <v>0.52</v>
      </c>
      <c r="T200" s="83">
        <f t="shared" si="60"/>
        <v>-1.7851846839516683E-2</v>
      </c>
      <c r="W200" s="80"/>
      <c r="X200" s="81">
        <f t="shared" si="50"/>
        <v>0.36536785525546889</v>
      </c>
      <c r="Y200">
        <f t="shared" si="61"/>
        <v>0.64258158356389639</v>
      </c>
      <c r="Z200" s="81">
        <f t="shared" si="62"/>
        <v>40.394228040143275</v>
      </c>
    </row>
    <row r="201" spans="1:26" hidden="1" x14ac:dyDescent="0.35">
      <c r="A201" s="36">
        <v>0.01</v>
      </c>
      <c r="B201" s="8">
        <v>0.05</v>
      </c>
      <c r="C201" s="5">
        <f t="shared" si="63"/>
        <v>5</v>
      </c>
      <c r="D201" s="81">
        <v>100</v>
      </c>
      <c r="E201" s="5">
        <f t="shared" si="64"/>
        <v>105</v>
      </c>
      <c r="F201" s="5">
        <f t="shared" si="65"/>
        <v>5</v>
      </c>
      <c r="G201" s="8">
        <f t="shared" si="66"/>
        <v>3.9894228040143268E-3</v>
      </c>
      <c r="H201" s="5">
        <f t="shared" si="67"/>
        <v>0.39894228040143265</v>
      </c>
      <c r="I201" s="80">
        <f t="shared" si="51"/>
        <v>1.0408062678379792E-7</v>
      </c>
      <c r="J201" s="80">
        <f t="shared" si="68"/>
        <v>2.6089144193758452E-7</v>
      </c>
      <c r="K201" s="81">
        <f t="shared" si="69"/>
        <v>3.298335476762618E-3</v>
      </c>
      <c r="L201" s="5">
        <f t="shared" si="53"/>
        <v>0.01</v>
      </c>
      <c r="M201" s="80">
        <f t="shared" si="49"/>
        <v>-6.7016645232373818E-3</v>
      </c>
      <c r="N201" s="80">
        <f t="shared" si="54"/>
        <v>4.8790164169432044</v>
      </c>
      <c r="O201" s="6">
        <f t="shared" si="55"/>
        <v>0</v>
      </c>
      <c r="P201" s="6">
        <f t="shared" si="56"/>
        <v>0</v>
      </c>
      <c r="Q201" s="6">
        <f t="shared" si="57"/>
        <v>0</v>
      </c>
      <c r="R201" s="6">
        <f t="shared" si="58"/>
        <v>0</v>
      </c>
      <c r="S201" s="6">
        <f t="shared" si="59"/>
        <v>9.981818181818182E-3</v>
      </c>
      <c r="T201" s="83">
        <f t="shared" si="60"/>
        <v>-6.6834827050555635E-3</v>
      </c>
      <c r="W201" s="80"/>
      <c r="X201" s="81">
        <f t="shared" si="50"/>
        <v>4.8840164169432043</v>
      </c>
      <c r="Y201">
        <f t="shared" si="61"/>
        <v>0.99999948026792718</v>
      </c>
      <c r="Z201" s="81">
        <f t="shared" si="62"/>
        <v>40.394228040143275</v>
      </c>
    </row>
    <row r="202" spans="1:26" hidden="1" x14ac:dyDescent="0.35">
      <c r="A202" s="36">
        <v>0.02</v>
      </c>
      <c r="B202" s="8">
        <v>0.05</v>
      </c>
      <c r="C202" s="5">
        <f t="shared" si="63"/>
        <v>5</v>
      </c>
      <c r="D202" s="81">
        <v>100</v>
      </c>
      <c r="E202" s="5">
        <f t="shared" si="64"/>
        <v>105</v>
      </c>
      <c r="F202" s="5">
        <f t="shared" si="65"/>
        <v>5</v>
      </c>
      <c r="G202" s="8">
        <f t="shared" si="66"/>
        <v>7.9788456080286535E-3</v>
      </c>
      <c r="H202" s="5">
        <f t="shared" si="67"/>
        <v>0.79788456080286529</v>
      </c>
      <c r="I202" s="80">
        <f t="shared" si="51"/>
        <v>4.9460194671837598E-3</v>
      </c>
      <c r="J202" s="80">
        <f t="shared" si="68"/>
        <v>6.1989161216590843E-3</v>
      </c>
      <c r="K202" s="81">
        <f t="shared" si="69"/>
        <v>9.8359736871343958E-3</v>
      </c>
      <c r="L202" s="5">
        <f t="shared" si="53"/>
        <v>0.02</v>
      </c>
      <c r="M202" s="80">
        <f t="shared" si="49"/>
        <v>-1.0164026312865605E-2</v>
      </c>
      <c r="N202" s="80">
        <f t="shared" si="54"/>
        <v>2.4395082084716022</v>
      </c>
      <c r="O202" s="6">
        <f t="shared" si="55"/>
        <v>0</v>
      </c>
      <c r="P202" s="6">
        <f t="shared" si="56"/>
        <v>0</v>
      </c>
      <c r="Q202" s="6">
        <f t="shared" si="57"/>
        <v>0</v>
      </c>
      <c r="R202" s="6">
        <f t="shared" si="58"/>
        <v>0</v>
      </c>
      <c r="S202" s="6">
        <f t="shared" si="59"/>
        <v>1.9927272727272727E-2</v>
      </c>
      <c r="T202" s="83">
        <f t="shared" si="60"/>
        <v>-1.0091299040138332E-2</v>
      </c>
      <c r="W202" s="80"/>
      <c r="X202" s="81">
        <f t="shared" si="50"/>
        <v>2.449508208471602</v>
      </c>
      <c r="Y202">
        <f t="shared" si="61"/>
        <v>0.99284742754257016</v>
      </c>
      <c r="Z202" s="81">
        <f t="shared" si="62"/>
        <v>40.394228040143275</v>
      </c>
    </row>
    <row r="203" spans="1:26" hidden="1" x14ac:dyDescent="0.35">
      <c r="A203" s="36">
        <v>0.05</v>
      </c>
      <c r="B203" s="8">
        <v>0.05</v>
      </c>
      <c r="C203" s="5">
        <f t="shared" si="63"/>
        <v>5</v>
      </c>
      <c r="D203" s="81">
        <v>100</v>
      </c>
      <c r="E203" s="5">
        <f t="shared" si="64"/>
        <v>105</v>
      </c>
      <c r="F203" s="5">
        <f t="shared" si="65"/>
        <v>5</v>
      </c>
      <c r="G203" s="8">
        <f t="shared" si="66"/>
        <v>1.9947114020071637E-2</v>
      </c>
      <c r="H203" s="5">
        <f t="shared" si="67"/>
        <v>1.9947114020071637</v>
      </c>
      <c r="I203" s="80">
        <f t="shared" si="51"/>
        <v>0.44681137778445645</v>
      </c>
      <c r="J203" s="80">
        <f t="shared" si="68"/>
        <v>0.22399800659627042</v>
      </c>
      <c r="K203" s="81">
        <f t="shared" si="69"/>
        <v>3.3419821016386755E-2</v>
      </c>
      <c r="L203" s="5">
        <f t="shared" si="53"/>
        <v>0.05</v>
      </c>
      <c r="M203" s="80">
        <f t="shared" si="49"/>
        <v>-1.6580178983613247E-2</v>
      </c>
      <c r="N203" s="80">
        <f t="shared" si="54"/>
        <v>0.97580328338864097</v>
      </c>
      <c r="O203" s="6">
        <f t="shared" si="55"/>
        <v>0</v>
      </c>
      <c r="P203" s="6">
        <f t="shared" si="56"/>
        <v>0</v>
      </c>
      <c r="Q203" s="6">
        <f t="shared" si="57"/>
        <v>0</v>
      </c>
      <c r="R203" s="6">
        <f t="shared" si="58"/>
        <v>0</v>
      </c>
      <c r="S203" s="6">
        <f t="shared" si="59"/>
        <v>4.9545454545454545E-2</v>
      </c>
      <c r="T203" s="83">
        <f t="shared" si="60"/>
        <v>-1.612563352906779E-2</v>
      </c>
      <c r="W203" s="80"/>
      <c r="X203" s="81">
        <f t="shared" si="50"/>
        <v>1.0008032833886409</v>
      </c>
      <c r="Y203">
        <f t="shared" si="61"/>
        <v>0.84153903906457161</v>
      </c>
      <c r="Z203" s="81">
        <f t="shared" si="62"/>
        <v>40.394228040143275</v>
      </c>
    </row>
    <row r="204" spans="1:26" hidden="1" x14ac:dyDescent="0.35">
      <c r="A204" s="36">
        <v>0.08</v>
      </c>
      <c r="B204" s="8">
        <v>0.05</v>
      </c>
      <c r="C204" s="5">
        <f t="shared" si="63"/>
        <v>5</v>
      </c>
      <c r="D204" s="81">
        <v>100</v>
      </c>
      <c r="E204" s="5">
        <f t="shared" si="64"/>
        <v>105</v>
      </c>
      <c r="F204" s="5">
        <f t="shared" si="65"/>
        <v>5</v>
      </c>
      <c r="G204" s="8">
        <f t="shared" si="66"/>
        <v>3.1915382432114614E-2</v>
      </c>
      <c r="H204" s="5">
        <f t="shared" si="67"/>
        <v>3.1915382432114612</v>
      </c>
      <c r="I204" s="80">
        <f t="shared" si="51"/>
        <v>1.3600432905220998</v>
      </c>
      <c r="J204" s="80">
        <f t="shared" si="68"/>
        <v>0.42614037084310996</v>
      </c>
      <c r="K204" s="81">
        <f t="shared" si="69"/>
        <v>5.8617576352601633E-2</v>
      </c>
      <c r="L204" s="5">
        <f t="shared" si="53"/>
        <v>0.08</v>
      </c>
      <c r="M204" s="80">
        <f t="shared" si="49"/>
        <v>-2.1382423647398369E-2</v>
      </c>
      <c r="N204" s="80">
        <f t="shared" si="54"/>
        <v>0.60987705211790055</v>
      </c>
      <c r="O204" s="6">
        <f t="shared" si="55"/>
        <v>0</v>
      </c>
      <c r="P204" s="6">
        <f t="shared" si="56"/>
        <v>0</v>
      </c>
      <c r="Q204" s="6">
        <f t="shared" si="57"/>
        <v>0</v>
      </c>
      <c r="R204" s="6">
        <f t="shared" si="58"/>
        <v>0</v>
      </c>
      <c r="S204" s="6">
        <f t="shared" si="59"/>
        <v>7.8836363636363635E-2</v>
      </c>
      <c r="T204" s="83">
        <f t="shared" si="60"/>
        <v>-2.0218787283762002E-2</v>
      </c>
      <c r="W204" s="80"/>
      <c r="X204" s="81">
        <f t="shared" si="50"/>
        <v>0.64987705211790059</v>
      </c>
      <c r="Y204">
        <f t="shared" si="61"/>
        <v>0.74211417883990993</v>
      </c>
      <c r="Z204" s="81">
        <f t="shared" si="62"/>
        <v>40.394228040143275</v>
      </c>
    </row>
    <row r="205" spans="1:26" hidden="1" x14ac:dyDescent="0.35">
      <c r="A205" s="36">
        <v>0.1</v>
      </c>
      <c r="B205" s="8">
        <v>0.05</v>
      </c>
      <c r="C205" s="5">
        <f t="shared" si="63"/>
        <v>5</v>
      </c>
      <c r="D205" s="81">
        <v>100</v>
      </c>
      <c r="E205" s="5">
        <f t="shared" si="64"/>
        <v>105</v>
      </c>
      <c r="F205" s="5">
        <f t="shared" si="65"/>
        <v>5</v>
      </c>
      <c r="G205" s="8">
        <f t="shared" si="66"/>
        <v>3.9894228040143274E-2</v>
      </c>
      <c r="H205" s="5">
        <f t="shared" si="67"/>
        <v>3.9894228040143274</v>
      </c>
      <c r="I205" s="80">
        <f t="shared" si="51"/>
        <v>2.0640191378988391</v>
      </c>
      <c r="J205" s="80">
        <f t="shared" si="68"/>
        <v>0.51737287304367308</v>
      </c>
      <c r="K205" s="81">
        <f t="shared" si="69"/>
        <v>7.587351969530752E-2</v>
      </c>
      <c r="L205" s="5">
        <f t="shared" si="53"/>
        <v>0.1</v>
      </c>
      <c r="M205" s="80">
        <f t="shared" si="49"/>
        <v>-2.4126480304692485E-2</v>
      </c>
      <c r="N205" s="80">
        <f t="shared" si="54"/>
        <v>0.48790164169432049</v>
      </c>
      <c r="O205" s="6">
        <f t="shared" si="55"/>
        <v>0</v>
      </c>
      <c r="P205" s="6">
        <f t="shared" si="56"/>
        <v>0</v>
      </c>
      <c r="Q205" s="6">
        <f t="shared" si="57"/>
        <v>0</v>
      </c>
      <c r="R205" s="6">
        <f t="shared" si="58"/>
        <v>0</v>
      </c>
      <c r="S205" s="6">
        <f t="shared" si="59"/>
        <v>9.818181818181819E-2</v>
      </c>
      <c r="T205" s="83">
        <f t="shared" si="60"/>
        <v>-2.2308298486510669E-2</v>
      </c>
      <c r="W205" s="80"/>
      <c r="X205" s="81">
        <f t="shared" si="50"/>
        <v>0.53790164169432053</v>
      </c>
      <c r="Y205">
        <f t="shared" si="61"/>
        <v>0.70467752251048299</v>
      </c>
      <c r="Z205" s="81">
        <f t="shared" si="62"/>
        <v>40.394228040143275</v>
      </c>
    </row>
    <row r="206" spans="1:26" hidden="1" x14ac:dyDescent="0.35">
      <c r="A206" s="36">
        <v>0.12</v>
      </c>
      <c r="B206" s="8">
        <v>0.05</v>
      </c>
      <c r="C206" s="5">
        <f t="shared" si="63"/>
        <v>5</v>
      </c>
      <c r="D206" s="81">
        <v>100</v>
      </c>
      <c r="E206" s="5">
        <f t="shared" si="64"/>
        <v>105</v>
      </c>
      <c r="F206" s="5">
        <f t="shared" si="65"/>
        <v>5</v>
      </c>
      <c r="G206" s="8">
        <f t="shared" si="66"/>
        <v>4.7873073648171921E-2</v>
      </c>
      <c r="H206" s="5">
        <f t="shared" si="67"/>
        <v>4.7873073648171918</v>
      </c>
      <c r="I206" s="80">
        <f t="shared" si="51"/>
        <v>2.8033227285387099</v>
      </c>
      <c r="J206" s="80">
        <f t="shared" si="68"/>
        <v>0.58557400118923797</v>
      </c>
      <c r="K206" s="81">
        <f t="shared" si="69"/>
        <v>9.3429528391253125E-2</v>
      </c>
      <c r="L206" s="5">
        <f t="shared" si="53"/>
        <v>0.12</v>
      </c>
      <c r="M206" s="80">
        <f t="shared" si="49"/>
        <v>-2.6570471608746871E-2</v>
      </c>
      <c r="N206" s="80">
        <f t="shared" si="54"/>
        <v>0.40658470141193376</v>
      </c>
      <c r="O206" s="6">
        <f t="shared" si="55"/>
        <v>0</v>
      </c>
      <c r="P206" s="6">
        <f t="shared" si="56"/>
        <v>0</v>
      </c>
      <c r="Q206" s="6">
        <f t="shared" si="57"/>
        <v>0</v>
      </c>
      <c r="R206" s="6">
        <f t="shared" si="58"/>
        <v>0</v>
      </c>
      <c r="S206" s="6">
        <f t="shared" si="59"/>
        <v>0.11738181818181817</v>
      </c>
      <c r="T206" s="83">
        <f t="shared" si="60"/>
        <v>-2.3952289790565046E-2</v>
      </c>
      <c r="W206" s="80"/>
      <c r="X206" s="81">
        <f t="shared" si="50"/>
        <v>0.46658470141193376</v>
      </c>
      <c r="Y206">
        <f t="shared" si="61"/>
        <v>0.6796014827279816</v>
      </c>
      <c r="Z206" s="81">
        <f t="shared" si="62"/>
        <v>40.394228040143275</v>
      </c>
    </row>
    <row r="207" spans="1:26" hidden="1" x14ac:dyDescent="0.35">
      <c r="A207" s="36">
        <v>0.15</v>
      </c>
      <c r="B207" s="8">
        <v>0.05</v>
      </c>
      <c r="C207" s="5">
        <f t="shared" si="63"/>
        <v>5</v>
      </c>
      <c r="D207" s="81">
        <v>100</v>
      </c>
      <c r="E207" s="5">
        <f t="shared" si="64"/>
        <v>105</v>
      </c>
      <c r="F207" s="5">
        <f t="shared" si="65"/>
        <v>5</v>
      </c>
      <c r="G207" s="8">
        <f t="shared" si="66"/>
        <v>5.9841342060214901E-2</v>
      </c>
      <c r="H207" s="5">
        <f t="shared" si="67"/>
        <v>5.9841342060214897</v>
      </c>
      <c r="I207" s="80">
        <f t="shared" si="51"/>
        <v>3.9486505087090578</v>
      </c>
      <c r="J207" s="80">
        <f t="shared" si="68"/>
        <v>0.65985326745108053</v>
      </c>
      <c r="K207" s="81">
        <f t="shared" si="69"/>
        <v>0.12026811397896536</v>
      </c>
      <c r="L207" s="5">
        <f t="shared" si="53"/>
        <v>0.15</v>
      </c>
      <c r="M207" s="80">
        <f t="shared" si="49"/>
        <v>-2.9731886021034631E-2</v>
      </c>
      <c r="N207" s="80">
        <f t="shared" si="54"/>
        <v>0.32526776112954703</v>
      </c>
      <c r="O207" s="6">
        <f t="shared" si="55"/>
        <v>0</v>
      </c>
      <c r="P207" s="6">
        <f t="shared" si="56"/>
        <v>0</v>
      </c>
      <c r="Q207" s="6">
        <f t="shared" si="57"/>
        <v>0</v>
      </c>
      <c r="R207" s="6">
        <f t="shared" si="58"/>
        <v>0</v>
      </c>
      <c r="S207" s="6">
        <f t="shared" si="59"/>
        <v>0.1459090909090909</v>
      </c>
      <c r="T207" s="83">
        <f t="shared" si="60"/>
        <v>-2.5640976930125542E-2</v>
      </c>
      <c r="W207" s="80"/>
      <c r="X207" s="81">
        <f t="shared" si="50"/>
        <v>0.40026776112954704</v>
      </c>
      <c r="Y207">
        <f t="shared" si="61"/>
        <v>0.65552034475737975</v>
      </c>
      <c r="Z207" s="81">
        <f t="shared" si="62"/>
        <v>40.394228040143275</v>
      </c>
    </row>
    <row r="208" spans="1:26" hidden="1" x14ac:dyDescent="0.35">
      <c r="A208" s="36">
        <v>0.2</v>
      </c>
      <c r="B208" s="8">
        <v>0.05</v>
      </c>
      <c r="C208" s="5">
        <f t="shared" si="63"/>
        <v>5</v>
      </c>
      <c r="D208" s="81">
        <v>100</v>
      </c>
      <c r="E208" s="5">
        <f t="shared" si="64"/>
        <v>105</v>
      </c>
      <c r="F208" s="5">
        <f t="shared" si="65"/>
        <v>5</v>
      </c>
      <c r="G208" s="8">
        <f t="shared" si="66"/>
        <v>7.9788456080286549E-2</v>
      </c>
      <c r="H208" s="5">
        <f t="shared" si="67"/>
        <v>7.9788456080286547</v>
      </c>
      <c r="I208" s="80">
        <f t="shared" si="51"/>
        <v>5.9055934715554912</v>
      </c>
      <c r="J208" s="80">
        <f t="shared" si="68"/>
        <v>0.74015637871386197</v>
      </c>
      <c r="K208" s="81">
        <f t="shared" si="69"/>
        <v>0.16617159025027878</v>
      </c>
      <c r="L208" s="5">
        <f t="shared" si="53"/>
        <v>0.2</v>
      </c>
      <c r="M208" s="80">
        <f t="shared" si="49"/>
        <v>-3.3828409749721233E-2</v>
      </c>
      <c r="N208" s="80">
        <f t="shared" si="54"/>
        <v>0.24395082084716024</v>
      </c>
      <c r="O208" s="6">
        <f t="shared" si="55"/>
        <v>0</v>
      </c>
      <c r="P208" s="6">
        <f t="shared" si="56"/>
        <v>0</v>
      </c>
      <c r="Q208" s="6">
        <f t="shared" si="57"/>
        <v>0</v>
      </c>
      <c r="R208" s="6">
        <f t="shared" si="58"/>
        <v>0</v>
      </c>
      <c r="S208" s="6">
        <f t="shared" si="59"/>
        <v>0.19272727272727275</v>
      </c>
      <c r="T208" s="83">
        <f t="shared" si="60"/>
        <v>-2.6555682476993969E-2</v>
      </c>
      <c r="W208" s="80"/>
      <c r="X208" s="81">
        <f t="shared" si="50"/>
        <v>0.34395082084716022</v>
      </c>
      <c r="Y208">
        <f t="shared" si="61"/>
        <v>0.63455836433407864</v>
      </c>
      <c r="Z208" s="81">
        <f t="shared" si="62"/>
        <v>40.394228040143275</v>
      </c>
    </row>
    <row r="209" spans="1:26" hidden="1" x14ac:dyDescent="0.35">
      <c r="A209" s="36">
        <v>0.25</v>
      </c>
      <c r="B209" s="8">
        <v>0.05</v>
      </c>
      <c r="C209" s="5">
        <f t="shared" si="63"/>
        <v>5</v>
      </c>
      <c r="D209" s="81">
        <v>100</v>
      </c>
      <c r="E209" s="5">
        <f t="shared" si="64"/>
        <v>105</v>
      </c>
      <c r="F209" s="5">
        <f t="shared" si="65"/>
        <v>5</v>
      </c>
      <c r="G209" s="8">
        <f t="shared" si="66"/>
        <v>9.9735570100358176E-2</v>
      </c>
      <c r="H209" s="5">
        <f t="shared" si="67"/>
        <v>9.9735570100358171</v>
      </c>
      <c r="I209" s="80">
        <f t="shared" si="51"/>
        <v>7.8888457562943515</v>
      </c>
      <c r="J209" s="80">
        <f t="shared" si="68"/>
        <v>0.79097615307720803</v>
      </c>
      <c r="K209" s="81">
        <f t="shared" si="69"/>
        <v>0.21323101930370472</v>
      </c>
      <c r="L209" s="5">
        <f t="shared" si="53"/>
        <v>0.25</v>
      </c>
      <c r="M209" s="80">
        <f t="shared" si="49"/>
        <v>-3.6768980696295278E-2</v>
      </c>
      <c r="N209" s="80">
        <f t="shared" si="54"/>
        <v>0.19516065667772819</v>
      </c>
      <c r="O209" s="6">
        <f t="shared" si="55"/>
        <v>0</v>
      </c>
      <c r="P209" s="6">
        <f t="shared" si="56"/>
        <v>0</v>
      </c>
      <c r="Q209" s="6">
        <f t="shared" si="57"/>
        <v>0</v>
      </c>
      <c r="R209" s="6">
        <f t="shared" si="58"/>
        <v>0</v>
      </c>
      <c r="S209" s="6">
        <f t="shared" si="59"/>
        <v>0.23863636363636365</v>
      </c>
      <c r="T209" s="83">
        <f t="shared" si="60"/>
        <v>-2.5405344332658925E-2</v>
      </c>
      <c r="W209" s="80"/>
      <c r="X209" s="81">
        <f t="shared" si="50"/>
        <v>0.32016065667772819</v>
      </c>
      <c r="Y209">
        <f t="shared" si="61"/>
        <v>0.62557672694289523</v>
      </c>
      <c r="Z209" s="81">
        <f t="shared" si="62"/>
        <v>40.394228040143275</v>
      </c>
    </row>
    <row r="210" spans="1:26" hidden="1" x14ac:dyDescent="0.35">
      <c r="A210" s="36">
        <v>0.3</v>
      </c>
      <c r="B210" s="8">
        <v>0.05</v>
      </c>
      <c r="C210" s="5">
        <f t="shared" si="63"/>
        <v>5</v>
      </c>
      <c r="D210" s="81">
        <v>100</v>
      </c>
      <c r="E210" s="5">
        <f t="shared" si="64"/>
        <v>105</v>
      </c>
      <c r="F210" s="5">
        <f t="shared" si="65"/>
        <v>5</v>
      </c>
      <c r="G210" s="8">
        <f t="shared" si="66"/>
        <v>0.1196826841204298</v>
      </c>
      <c r="H210" s="5">
        <f t="shared" si="67"/>
        <v>11.968268412042979</v>
      </c>
      <c r="I210" s="80">
        <f t="shared" si="51"/>
        <v>9.8816556822153387</v>
      </c>
      <c r="J210" s="80">
        <f t="shared" si="68"/>
        <v>0.82565458444030193</v>
      </c>
      <c r="K210" s="81">
        <f t="shared" si="69"/>
        <v>0.26098925048588656</v>
      </c>
      <c r="L210" s="5">
        <f t="shared" si="53"/>
        <v>0.3</v>
      </c>
      <c r="M210" s="80">
        <f t="shared" si="49"/>
        <v>-3.901074951411343E-2</v>
      </c>
      <c r="N210" s="80">
        <f t="shared" si="54"/>
        <v>0.16263388056477351</v>
      </c>
      <c r="O210" s="6">
        <f t="shared" si="55"/>
        <v>0</v>
      </c>
      <c r="P210" s="6">
        <f t="shared" si="56"/>
        <v>0</v>
      </c>
      <c r="Q210" s="6">
        <f t="shared" si="57"/>
        <v>0</v>
      </c>
      <c r="R210" s="6">
        <f t="shared" si="58"/>
        <v>0</v>
      </c>
      <c r="S210" s="6">
        <f t="shared" si="59"/>
        <v>0.28363636363636363</v>
      </c>
      <c r="T210" s="83">
        <f t="shared" si="60"/>
        <v>-2.2647113150477072E-2</v>
      </c>
      <c r="W210" s="80"/>
      <c r="X210" s="81">
        <f t="shared" si="50"/>
        <v>0.31263388056477348</v>
      </c>
      <c r="Y210">
        <f t="shared" si="61"/>
        <v>0.62272058273010911</v>
      </c>
      <c r="Z210" s="81">
        <f t="shared" si="62"/>
        <v>40.394228040143275</v>
      </c>
    </row>
    <row r="211" spans="1:26" hidden="1" x14ac:dyDescent="0.35">
      <c r="A211" s="36">
        <v>0.35</v>
      </c>
      <c r="B211" s="8">
        <v>0.05</v>
      </c>
      <c r="C211" s="5">
        <f t="shared" si="63"/>
        <v>5</v>
      </c>
      <c r="D211" s="81">
        <v>100</v>
      </c>
      <c r="E211" s="5">
        <f t="shared" si="64"/>
        <v>105</v>
      </c>
      <c r="F211" s="5">
        <f t="shared" si="65"/>
        <v>5</v>
      </c>
      <c r="G211" s="8">
        <f t="shared" si="66"/>
        <v>0.13962979814050144</v>
      </c>
      <c r="H211" s="5">
        <f t="shared" si="67"/>
        <v>13.962979814050144</v>
      </c>
      <c r="I211" s="80">
        <f t="shared" si="51"/>
        <v>11.876028636036928</v>
      </c>
      <c r="J211" s="80">
        <f t="shared" si="68"/>
        <v>0.85053683341193143</v>
      </c>
      <c r="K211" s="81">
        <f t="shared" si="69"/>
        <v>0.30885634423537123</v>
      </c>
      <c r="L211" s="5">
        <f t="shared" si="53"/>
        <v>0.35</v>
      </c>
      <c r="M211" s="80">
        <f t="shared" ref="M211:M274" si="70">K211-A211</f>
        <v>-4.114365576462875E-2</v>
      </c>
      <c r="N211" s="80">
        <f t="shared" si="54"/>
        <v>0.13940046905552014</v>
      </c>
      <c r="O211" s="6">
        <f t="shared" si="55"/>
        <v>0</v>
      </c>
      <c r="P211" s="6">
        <f t="shared" si="56"/>
        <v>0</v>
      </c>
      <c r="Q211" s="6">
        <f t="shared" si="57"/>
        <v>0</v>
      </c>
      <c r="R211" s="6">
        <f t="shared" si="58"/>
        <v>0</v>
      </c>
      <c r="S211" s="6">
        <f t="shared" si="59"/>
        <v>0.3277272727272727</v>
      </c>
      <c r="T211" s="83">
        <f t="shared" si="60"/>
        <v>-1.8870928491901473E-2</v>
      </c>
      <c r="W211" s="80"/>
      <c r="X211" s="81">
        <f t="shared" ref="X211:X274" si="71">N211+0.5*A211</f>
        <v>0.3144004690555201</v>
      </c>
      <c r="Y211">
        <f t="shared" si="61"/>
        <v>0.62339155002803825</v>
      </c>
      <c r="Z211" s="81">
        <f t="shared" si="62"/>
        <v>40.394228040143275</v>
      </c>
    </row>
    <row r="212" spans="1:26" hidden="1" x14ac:dyDescent="0.35">
      <c r="A212" s="36">
        <v>0.4</v>
      </c>
      <c r="B212" s="8">
        <v>0.05</v>
      </c>
      <c r="C212" s="5">
        <f t="shared" si="63"/>
        <v>5</v>
      </c>
      <c r="D212" s="81">
        <v>100</v>
      </c>
      <c r="E212" s="5">
        <f t="shared" si="64"/>
        <v>105</v>
      </c>
      <c r="F212" s="5">
        <f t="shared" si="65"/>
        <v>5</v>
      </c>
      <c r="G212" s="8">
        <f t="shared" si="66"/>
        <v>0.1595769121605731</v>
      </c>
      <c r="H212" s="5">
        <f t="shared" si="67"/>
        <v>15.957691216057309</v>
      </c>
      <c r="I212" s="80">
        <f t="shared" ref="I212:I275" si="72">($E212*NORMDIST(LN($E212/$D212)/$A212+0.5*$A212,0,1,TRUE)-$D212*NORMDIST(LN($E212/$D212)/$A212-0.5*$A212,0,1,TRUE)-$F212)</f>
        <v>13.867330893095627</v>
      </c>
      <c r="J212" s="80">
        <f t="shared" si="68"/>
        <v>0.86900609275743645</v>
      </c>
      <c r="K212" s="81">
        <f t="shared" si="69"/>
        <v>0.35611231259125775</v>
      </c>
      <c r="L212" s="5">
        <f t="shared" ref="L212:L275" si="73">A212</f>
        <v>0.4</v>
      </c>
      <c r="M212" s="80">
        <f t="shared" si="70"/>
        <v>-4.3887687408742271E-2</v>
      </c>
      <c r="N212" s="80">
        <f t="shared" ref="N212:N275" si="74">LN(1+B212)/A212</f>
        <v>0.12197541042358012</v>
      </c>
      <c r="O212" s="6">
        <f t="shared" ref="O212:O275" si="75">IF($B$10=B212,1,0)</f>
        <v>0</v>
      </c>
      <c r="P212" s="6">
        <f t="shared" ref="P212:P275" si="76">O212*A212</f>
        <v>0</v>
      </c>
      <c r="Q212" s="6">
        <f t="shared" ref="Q212:Q275" si="77">IF(ISNUMBER(K212),O212*M212,0)</f>
        <v>0</v>
      </c>
      <c r="R212" s="6">
        <f t="shared" ref="R212:R275" si="78">IF(O212=0,0,$C$10*A212^2)</f>
        <v>0</v>
      </c>
      <c r="S212" s="6">
        <f t="shared" ref="S212:S275" si="79">A212-1/($B$11*B212+0.5)*A212^2</f>
        <v>0.37090909090909091</v>
      </c>
      <c r="T212" s="83">
        <f t="shared" ref="T212:T275" si="80">K212-S212</f>
        <v>-1.4796778317833159E-2</v>
      </c>
      <c r="W212" s="80"/>
      <c r="X212" s="81">
        <f t="shared" si="71"/>
        <v>0.32197541042358013</v>
      </c>
      <c r="Y212">
        <f t="shared" ref="Y212:Y275" si="81">NORMDIST(X212,0,1,TRUE)</f>
        <v>0.62626433848738594</v>
      </c>
      <c r="Z212" s="81">
        <f t="shared" si="62"/>
        <v>40.394228040143275</v>
      </c>
    </row>
    <row r="213" spans="1:26" hidden="1" x14ac:dyDescent="0.35">
      <c r="A213" s="36">
        <v>0.5</v>
      </c>
      <c r="B213" s="8">
        <v>0.05</v>
      </c>
      <c r="C213" s="5">
        <f t="shared" si="63"/>
        <v>5</v>
      </c>
      <c r="D213" s="81">
        <v>100</v>
      </c>
      <c r="E213" s="5">
        <f t="shared" si="64"/>
        <v>105</v>
      </c>
      <c r="F213" s="5">
        <f t="shared" si="65"/>
        <v>5</v>
      </c>
      <c r="G213" s="8">
        <f t="shared" si="66"/>
        <v>0.19947114020071635</v>
      </c>
      <c r="H213" s="5">
        <f t="shared" si="67"/>
        <v>19.947114020071634</v>
      </c>
      <c r="I213" s="80">
        <f t="shared" si="72"/>
        <v>17.829045320222598</v>
      </c>
      <c r="J213" s="80">
        <f t="shared" si="68"/>
        <v>0.89381578218694968</v>
      </c>
      <c r="K213" s="81">
        <f t="shared" si="69"/>
        <v>0.44541213602067936</v>
      </c>
      <c r="L213" s="5">
        <f t="shared" si="73"/>
        <v>0.5</v>
      </c>
      <c r="M213" s="80">
        <f t="shared" si="70"/>
        <v>-5.4587863979320639E-2</v>
      </c>
      <c r="N213" s="80">
        <f t="shared" si="74"/>
        <v>9.7580328338864097E-2</v>
      </c>
      <c r="O213" s="6">
        <f t="shared" si="75"/>
        <v>0</v>
      </c>
      <c r="P213" s="6">
        <f t="shared" si="76"/>
        <v>0</v>
      </c>
      <c r="Q213" s="6">
        <f t="shared" si="77"/>
        <v>0</v>
      </c>
      <c r="R213" s="6">
        <f t="shared" si="78"/>
        <v>0</v>
      </c>
      <c r="S213" s="6">
        <f t="shared" si="79"/>
        <v>0.45454545454545453</v>
      </c>
      <c r="T213" s="83">
        <f t="shared" si="80"/>
        <v>-9.1333185247751691E-3</v>
      </c>
      <c r="W213" s="80"/>
      <c r="X213" s="81">
        <f t="shared" si="71"/>
        <v>0.3475803283388641</v>
      </c>
      <c r="Y213">
        <f t="shared" si="81"/>
        <v>0.63592230905183667</v>
      </c>
      <c r="Z213" s="81">
        <f t="shared" si="62"/>
        <v>40.394228040143275</v>
      </c>
    </row>
    <row r="214" spans="1:26" hidden="1" x14ac:dyDescent="0.35">
      <c r="A214" s="36">
        <v>0.6</v>
      </c>
      <c r="B214" s="8">
        <v>0.05</v>
      </c>
      <c r="C214" s="5">
        <f t="shared" si="63"/>
        <v>5</v>
      </c>
      <c r="D214" s="81">
        <v>100</v>
      </c>
      <c r="E214" s="5">
        <f t="shared" si="64"/>
        <v>105</v>
      </c>
      <c r="F214" s="5">
        <f t="shared" si="65"/>
        <v>5</v>
      </c>
      <c r="G214" s="8">
        <f t="shared" si="66"/>
        <v>0.23936536824085961</v>
      </c>
      <c r="H214" s="5">
        <f t="shared" si="67"/>
        <v>23.936536824085959</v>
      </c>
      <c r="I214" s="80">
        <f t="shared" si="72"/>
        <v>21.749328237308887</v>
      </c>
      <c r="J214" s="80">
        <f t="shared" si="68"/>
        <v>0.90862468523114803</v>
      </c>
      <c r="K214" s="81">
        <f t="shared" si="69"/>
        <v>0.52179453539158815</v>
      </c>
      <c r="L214" s="5">
        <f t="shared" si="73"/>
        <v>0.6</v>
      </c>
      <c r="M214" s="80">
        <f t="shared" si="70"/>
        <v>-7.8205464608411823E-2</v>
      </c>
      <c r="N214" s="80">
        <f t="shared" si="74"/>
        <v>8.1316940282386757E-2</v>
      </c>
      <c r="O214" s="6">
        <f t="shared" si="75"/>
        <v>0</v>
      </c>
      <c r="P214" s="6">
        <f t="shared" si="76"/>
        <v>0</v>
      </c>
      <c r="Q214" s="6">
        <f t="shared" si="77"/>
        <v>0</v>
      </c>
      <c r="R214" s="6">
        <f t="shared" si="78"/>
        <v>0</v>
      </c>
      <c r="S214" s="6">
        <f t="shared" si="79"/>
        <v>0.53454545454545455</v>
      </c>
      <c r="T214" s="83">
        <f t="shared" si="80"/>
        <v>-1.2750919153866391E-2</v>
      </c>
      <c r="W214" s="80"/>
      <c r="X214" s="81">
        <f t="shared" si="71"/>
        <v>0.38131694028238672</v>
      </c>
      <c r="Y214">
        <f t="shared" si="81"/>
        <v>0.64851595749427227</v>
      </c>
      <c r="Z214" s="81">
        <f t="shared" si="62"/>
        <v>40.394228040143275</v>
      </c>
    </row>
    <row r="215" spans="1:26" hidden="1" x14ac:dyDescent="0.35">
      <c r="A215" s="36">
        <v>0.01</v>
      </c>
      <c r="B215" s="8">
        <v>0.06</v>
      </c>
      <c r="C215" s="5">
        <f t="shared" ref="C215:C278" si="82">D215*B215</f>
        <v>6</v>
      </c>
      <c r="D215" s="81">
        <v>100</v>
      </c>
      <c r="E215" s="5">
        <f t="shared" ref="E215:E278" si="83">D215+C215</f>
        <v>106</v>
      </c>
      <c r="F215" s="5">
        <f t="shared" ref="F215:F278" si="84">E215-D215</f>
        <v>6</v>
      </c>
      <c r="G215" s="8">
        <f t="shared" ref="G215:G278" si="85">1/SQRT(2*PI())*A215</f>
        <v>3.9894228040143268E-3</v>
      </c>
      <c r="H215" s="5">
        <f t="shared" ref="H215:H278" si="86">G215*D215</f>
        <v>0.39894228040143265</v>
      </c>
      <c r="I215" s="80">
        <f t="shared" si="72"/>
        <v>4.730651426143595E-10</v>
      </c>
      <c r="J215" s="80">
        <f t="shared" ref="J215:J278" si="87">I215/H215</f>
        <v>1.1857984622195003E-9</v>
      </c>
      <c r="K215" s="81">
        <f t="shared" ref="K215:K278" si="88">-B215/LN(J215)</f>
        <v>2.9193032359843287E-3</v>
      </c>
      <c r="L215" s="5">
        <f t="shared" si="73"/>
        <v>0.01</v>
      </c>
      <c r="M215" s="80">
        <f t="shared" si="70"/>
        <v>-7.0806967640156711E-3</v>
      </c>
      <c r="N215" s="80">
        <f t="shared" si="74"/>
        <v>5.8268908123975827</v>
      </c>
      <c r="O215" s="6">
        <f t="shared" si="75"/>
        <v>0</v>
      </c>
      <c r="P215" s="6">
        <f t="shared" si="76"/>
        <v>0</v>
      </c>
      <c r="Q215" s="6">
        <f t="shared" si="77"/>
        <v>0</v>
      </c>
      <c r="R215" s="6">
        <f t="shared" si="78"/>
        <v>0</v>
      </c>
      <c r="S215" s="6">
        <f t="shared" si="79"/>
        <v>9.9846153846153852E-3</v>
      </c>
      <c r="T215" s="83">
        <f t="shared" si="80"/>
        <v>-7.0653121486310561E-3</v>
      </c>
      <c r="W215" s="80"/>
      <c r="X215" s="81">
        <f t="shared" si="71"/>
        <v>5.8318908123975826</v>
      </c>
      <c r="Y215">
        <f t="shared" si="81"/>
        <v>0.99999999725986111</v>
      </c>
      <c r="Z215" s="81">
        <f t="shared" si="62"/>
        <v>40.394228040143275</v>
      </c>
    </row>
    <row r="216" spans="1:26" hidden="1" x14ac:dyDescent="0.35">
      <c r="A216" s="36">
        <v>0.02</v>
      </c>
      <c r="B216" s="8">
        <v>0.06</v>
      </c>
      <c r="C216" s="5">
        <f t="shared" si="82"/>
        <v>6</v>
      </c>
      <c r="D216" s="81">
        <v>100</v>
      </c>
      <c r="E216" s="5">
        <f t="shared" si="83"/>
        <v>106</v>
      </c>
      <c r="F216" s="5">
        <f t="shared" si="84"/>
        <v>6</v>
      </c>
      <c r="G216" s="8">
        <f t="shared" si="85"/>
        <v>7.9788456080286535E-3</v>
      </c>
      <c r="H216" s="5">
        <f t="shared" si="86"/>
        <v>0.79788456080286529</v>
      </c>
      <c r="I216" s="80">
        <f t="shared" si="72"/>
        <v>1.0647660269853532E-3</v>
      </c>
      <c r="J216" s="80">
        <f t="shared" si="87"/>
        <v>1.3344863145540006E-3</v>
      </c>
      <c r="K216" s="81">
        <f t="shared" si="88"/>
        <v>9.0645274097699534E-3</v>
      </c>
      <c r="L216" s="5">
        <f t="shared" si="73"/>
        <v>0.02</v>
      </c>
      <c r="M216" s="80">
        <f t="shared" si="70"/>
        <v>-1.0935472590230047E-2</v>
      </c>
      <c r="N216" s="80">
        <f t="shared" si="74"/>
        <v>2.9134454061987913</v>
      </c>
      <c r="O216" s="6">
        <f t="shared" si="75"/>
        <v>0</v>
      </c>
      <c r="P216" s="6">
        <f t="shared" si="76"/>
        <v>0</v>
      </c>
      <c r="Q216" s="6">
        <f t="shared" si="77"/>
        <v>0</v>
      </c>
      <c r="R216" s="6">
        <f t="shared" si="78"/>
        <v>0</v>
      </c>
      <c r="S216" s="6">
        <f t="shared" si="79"/>
        <v>1.993846153846154E-2</v>
      </c>
      <c r="T216" s="83">
        <f t="shared" si="80"/>
        <v>-1.0873934128691587E-2</v>
      </c>
      <c r="W216" s="80"/>
      <c r="X216" s="81">
        <f t="shared" si="71"/>
        <v>2.9234454061987911</v>
      </c>
      <c r="Y216">
        <f t="shared" si="81"/>
        <v>0.9982690953707386</v>
      </c>
      <c r="Z216" s="81">
        <f t="shared" si="62"/>
        <v>40.394228040143275</v>
      </c>
    </row>
    <row r="217" spans="1:26" hidden="1" x14ac:dyDescent="0.35">
      <c r="A217" s="36">
        <v>0.05</v>
      </c>
      <c r="B217" s="8">
        <v>0.06</v>
      </c>
      <c r="C217" s="5">
        <f t="shared" si="82"/>
        <v>6</v>
      </c>
      <c r="D217" s="81">
        <v>100</v>
      </c>
      <c r="E217" s="5">
        <f t="shared" si="83"/>
        <v>106</v>
      </c>
      <c r="F217" s="5">
        <f t="shared" si="84"/>
        <v>6</v>
      </c>
      <c r="G217" s="8">
        <f t="shared" si="85"/>
        <v>1.9947114020071637E-2</v>
      </c>
      <c r="H217" s="5">
        <f t="shared" si="86"/>
        <v>1.9947114020071637</v>
      </c>
      <c r="I217" s="80">
        <f t="shared" si="72"/>
        <v>0.30985635229366437</v>
      </c>
      <c r="J217" s="80">
        <f t="shared" si="87"/>
        <v>0.15533893874666466</v>
      </c>
      <c r="K217" s="81">
        <f t="shared" si="88"/>
        <v>3.2220891865220855E-2</v>
      </c>
      <c r="L217" s="5">
        <f t="shared" si="73"/>
        <v>0.05</v>
      </c>
      <c r="M217" s="80">
        <f t="shared" si="70"/>
        <v>-1.7779108134779148E-2</v>
      </c>
      <c r="N217" s="80">
        <f t="shared" si="74"/>
        <v>1.1653781624795163</v>
      </c>
      <c r="O217" s="6">
        <f t="shared" si="75"/>
        <v>0</v>
      </c>
      <c r="P217" s="6">
        <f t="shared" si="76"/>
        <v>0</v>
      </c>
      <c r="Q217" s="6">
        <f t="shared" si="77"/>
        <v>0</v>
      </c>
      <c r="R217" s="6">
        <f t="shared" si="78"/>
        <v>0</v>
      </c>
      <c r="S217" s="6">
        <f t="shared" si="79"/>
        <v>4.9615384615384617E-2</v>
      </c>
      <c r="T217" s="83">
        <f t="shared" si="80"/>
        <v>-1.7394492750163762E-2</v>
      </c>
      <c r="W217" s="80"/>
      <c r="X217" s="81">
        <f t="shared" si="71"/>
        <v>1.1903781624795162</v>
      </c>
      <c r="Y217">
        <f t="shared" si="81"/>
        <v>0.88305110393500519</v>
      </c>
      <c r="Z217" s="81">
        <f t="shared" si="62"/>
        <v>40.394228040143275</v>
      </c>
    </row>
    <row r="218" spans="1:26" hidden="1" x14ac:dyDescent="0.35">
      <c r="A218" s="36">
        <v>0.08</v>
      </c>
      <c r="B218" s="8">
        <v>0.06</v>
      </c>
      <c r="C218" s="5">
        <f t="shared" si="82"/>
        <v>6</v>
      </c>
      <c r="D218" s="81">
        <v>100</v>
      </c>
      <c r="E218" s="5">
        <f t="shared" si="83"/>
        <v>106</v>
      </c>
      <c r="F218" s="5">
        <f t="shared" si="84"/>
        <v>6</v>
      </c>
      <c r="G218" s="8">
        <f t="shared" si="85"/>
        <v>3.1915382432114614E-2</v>
      </c>
      <c r="H218" s="5">
        <f t="shared" si="86"/>
        <v>3.1915382432114612</v>
      </c>
      <c r="I218" s="80">
        <f t="shared" si="72"/>
        <v>1.1208184334431337</v>
      </c>
      <c r="J218" s="80">
        <f t="shared" si="87"/>
        <v>0.35118439699952292</v>
      </c>
      <c r="K218" s="81">
        <f t="shared" si="88"/>
        <v>5.7337047024438093E-2</v>
      </c>
      <c r="L218" s="5">
        <f t="shared" si="73"/>
        <v>0.08</v>
      </c>
      <c r="M218" s="80">
        <f t="shared" si="70"/>
        <v>-2.2662952975561909E-2</v>
      </c>
      <c r="N218" s="80">
        <f t="shared" si="74"/>
        <v>0.72836135154969783</v>
      </c>
      <c r="O218" s="6">
        <f t="shared" si="75"/>
        <v>0</v>
      </c>
      <c r="P218" s="6">
        <f t="shared" si="76"/>
        <v>0</v>
      </c>
      <c r="Q218" s="6">
        <f t="shared" si="77"/>
        <v>0</v>
      </c>
      <c r="R218" s="6">
        <f t="shared" si="78"/>
        <v>0</v>
      </c>
      <c r="S218" s="6">
        <f t="shared" si="79"/>
        <v>7.9015384615384612E-2</v>
      </c>
      <c r="T218" s="83">
        <f t="shared" si="80"/>
        <v>-2.167833759094652E-2</v>
      </c>
      <c r="W218" s="80"/>
      <c r="X218" s="81">
        <f t="shared" si="71"/>
        <v>0.76836135154969787</v>
      </c>
      <c r="Y218">
        <f t="shared" si="81"/>
        <v>0.77886373259374175</v>
      </c>
      <c r="Z218" s="81">
        <f t="shared" si="62"/>
        <v>40.394228040143275</v>
      </c>
    </row>
    <row r="219" spans="1:26" hidden="1" x14ac:dyDescent="0.35">
      <c r="A219" s="36">
        <v>0.1</v>
      </c>
      <c r="B219" s="8">
        <v>0.06</v>
      </c>
      <c r="C219" s="5">
        <f t="shared" si="82"/>
        <v>6</v>
      </c>
      <c r="D219" s="81">
        <v>100</v>
      </c>
      <c r="E219" s="5">
        <f t="shared" si="83"/>
        <v>106</v>
      </c>
      <c r="F219" s="5">
        <f t="shared" si="84"/>
        <v>6</v>
      </c>
      <c r="G219" s="8">
        <f t="shared" si="85"/>
        <v>3.9894228040143274E-2</v>
      </c>
      <c r="H219" s="5">
        <f t="shared" si="86"/>
        <v>3.9894228040143274</v>
      </c>
      <c r="I219" s="80">
        <f t="shared" si="72"/>
        <v>1.7847961044342071</v>
      </c>
      <c r="J219" s="80">
        <f t="shared" si="87"/>
        <v>0.44738203798260467</v>
      </c>
      <c r="K219" s="81">
        <f t="shared" si="88"/>
        <v>7.4595099822495278E-2</v>
      </c>
      <c r="L219" s="5">
        <f t="shared" si="73"/>
        <v>0.1</v>
      </c>
      <c r="M219" s="80">
        <f t="shared" si="70"/>
        <v>-2.5404900177504727E-2</v>
      </c>
      <c r="N219" s="80">
        <f t="shared" si="74"/>
        <v>0.58268908123975816</v>
      </c>
      <c r="O219" s="6">
        <f t="shared" si="75"/>
        <v>0</v>
      </c>
      <c r="P219" s="6">
        <f t="shared" si="76"/>
        <v>0</v>
      </c>
      <c r="Q219" s="6">
        <f t="shared" si="77"/>
        <v>0</v>
      </c>
      <c r="R219" s="6">
        <f t="shared" si="78"/>
        <v>0</v>
      </c>
      <c r="S219" s="6">
        <f t="shared" si="79"/>
        <v>9.8461538461538461E-2</v>
      </c>
      <c r="T219" s="83">
        <f t="shared" si="80"/>
        <v>-2.3866438639043183E-2</v>
      </c>
      <c r="W219" s="80"/>
      <c r="X219" s="81">
        <f t="shared" si="71"/>
        <v>0.6326890812397582</v>
      </c>
      <c r="Y219">
        <f t="shared" si="81"/>
        <v>0.73653164924917292</v>
      </c>
      <c r="Z219" s="81">
        <f t="shared" si="62"/>
        <v>40.394228040143275</v>
      </c>
    </row>
    <row r="220" spans="1:26" hidden="1" x14ac:dyDescent="0.35">
      <c r="A220" s="36">
        <v>0.12</v>
      </c>
      <c r="B220" s="8">
        <v>0.06</v>
      </c>
      <c r="C220" s="5">
        <f t="shared" si="82"/>
        <v>6</v>
      </c>
      <c r="D220" s="81">
        <v>100</v>
      </c>
      <c r="E220" s="5">
        <f t="shared" si="83"/>
        <v>106</v>
      </c>
      <c r="F220" s="5">
        <f t="shared" si="84"/>
        <v>6</v>
      </c>
      <c r="G220" s="8">
        <f t="shared" si="85"/>
        <v>4.7873073648171921E-2</v>
      </c>
      <c r="H220" s="5">
        <f t="shared" si="86"/>
        <v>4.7873073648171918</v>
      </c>
      <c r="I220" s="80">
        <f t="shared" si="72"/>
        <v>2.496898024695966</v>
      </c>
      <c r="J220" s="80">
        <f t="shared" si="87"/>
        <v>0.5215662656311002</v>
      </c>
      <c r="K220" s="81">
        <f t="shared" si="88"/>
        <v>9.2177375444375251E-2</v>
      </c>
      <c r="L220" s="5">
        <f t="shared" si="73"/>
        <v>0.12</v>
      </c>
      <c r="M220" s="80">
        <f t="shared" si="70"/>
        <v>-2.7822624555624745E-2</v>
      </c>
      <c r="N220" s="80">
        <f t="shared" si="74"/>
        <v>0.48557423436646524</v>
      </c>
      <c r="O220" s="6">
        <f t="shared" si="75"/>
        <v>0</v>
      </c>
      <c r="P220" s="6">
        <f t="shared" si="76"/>
        <v>0</v>
      </c>
      <c r="Q220" s="6">
        <f t="shared" si="77"/>
        <v>0</v>
      </c>
      <c r="R220" s="6">
        <f t="shared" si="78"/>
        <v>0</v>
      </c>
      <c r="S220" s="6">
        <f t="shared" si="79"/>
        <v>0.11778461538461538</v>
      </c>
      <c r="T220" s="83">
        <f t="shared" si="80"/>
        <v>-2.5607239940240126E-2</v>
      </c>
      <c r="W220" s="80"/>
      <c r="X220" s="81">
        <f t="shared" si="71"/>
        <v>0.54557423436646524</v>
      </c>
      <c r="Y220">
        <f t="shared" si="81"/>
        <v>0.70732068026884987</v>
      </c>
      <c r="Z220" s="81">
        <f t="shared" si="62"/>
        <v>40.394228040143275</v>
      </c>
    </row>
    <row r="221" spans="1:26" hidden="1" x14ac:dyDescent="0.35">
      <c r="A221" s="36">
        <v>0.15</v>
      </c>
      <c r="B221" s="8">
        <v>0.06</v>
      </c>
      <c r="C221" s="5">
        <f t="shared" si="82"/>
        <v>6</v>
      </c>
      <c r="D221" s="81">
        <v>100</v>
      </c>
      <c r="E221" s="5">
        <f t="shared" si="83"/>
        <v>106</v>
      </c>
      <c r="F221" s="5">
        <f t="shared" si="84"/>
        <v>6</v>
      </c>
      <c r="G221" s="8">
        <f t="shared" si="85"/>
        <v>5.9841342060214901E-2</v>
      </c>
      <c r="H221" s="5">
        <f t="shared" si="86"/>
        <v>5.9841342060214897</v>
      </c>
      <c r="I221" s="80">
        <f t="shared" si="72"/>
        <v>3.6157222522308601</v>
      </c>
      <c r="J221" s="80">
        <f t="shared" si="87"/>
        <v>0.60421810871029047</v>
      </c>
      <c r="K221" s="81">
        <f t="shared" si="88"/>
        <v>0.11909014200353722</v>
      </c>
      <c r="L221" s="5">
        <f t="shared" si="73"/>
        <v>0.15</v>
      </c>
      <c r="M221" s="80">
        <f t="shared" si="70"/>
        <v>-3.0909857996462772E-2</v>
      </c>
      <c r="N221" s="80">
        <f t="shared" si="74"/>
        <v>0.38845938749317216</v>
      </c>
      <c r="O221" s="6">
        <f t="shared" si="75"/>
        <v>0</v>
      </c>
      <c r="P221" s="6">
        <f t="shared" si="76"/>
        <v>0</v>
      </c>
      <c r="Q221" s="6">
        <f t="shared" si="77"/>
        <v>0</v>
      </c>
      <c r="R221" s="6">
        <f t="shared" si="78"/>
        <v>0</v>
      </c>
      <c r="S221" s="6">
        <f t="shared" si="79"/>
        <v>0.14653846153846153</v>
      </c>
      <c r="T221" s="83">
        <f t="shared" si="80"/>
        <v>-2.7448319534924312E-2</v>
      </c>
      <c r="W221" s="80"/>
      <c r="X221" s="81">
        <f t="shared" si="71"/>
        <v>0.46345938749317217</v>
      </c>
      <c r="Y221">
        <f t="shared" si="81"/>
        <v>0.67848244054119466</v>
      </c>
      <c r="Z221" s="81">
        <f t="shared" si="62"/>
        <v>40.394228040143275</v>
      </c>
    </row>
    <row r="222" spans="1:26" hidden="1" x14ac:dyDescent="0.35">
      <c r="A222" s="36">
        <v>0.2</v>
      </c>
      <c r="B222" s="8">
        <v>0.06</v>
      </c>
      <c r="C222" s="5">
        <f t="shared" si="82"/>
        <v>6</v>
      </c>
      <c r="D222" s="81">
        <v>100</v>
      </c>
      <c r="E222" s="5">
        <f t="shared" si="83"/>
        <v>106</v>
      </c>
      <c r="F222" s="5">
        <f t="shared" si="84"/>
        <v>6</v>
      </c>
      <c r="G222" s="8">
        <f t="shared" si="85"/>
        <v>7.9788456080286549E-2</v>
      </c>
      <c r="H222" s="5">
        <f t="shared" si="86"/>
        <v>7.9788456080286547</v>
      </c>
      <c r="I222" s="80">
        <f t="shared" si="72"/>
        <v>5.5490266223924394</v>
      </c>
      <c r="J222" s="80">
        <f t="shared" si="87"/>
        <v>0.69546735141845228</v>
      </c>
      <c r="K222" s="81">
        <f t="shared" si="88"/>
        <v>0.16521133319205175</v>
      </c>
      <c r="L222" s="5">
        <f t="shared" si="73"/>
        <v>0.2</v>
      </c>
      <c r="M222" s="80">
        <f t="shared" si="70"/>
        <v>-3.478866680794826E-2</v>
      </c>
      <c r="N222" s="80">
        <f t="shared" si="74"/>
        <v>0.29134454061987908</v>
      </c>
      <c r="O222" s="6">
        <f t="shared" si="75"/>
        <v>0</v>
      </c>
      <c r="P222" s="6">
        <f t="shared" si="76"/>
        <v>0</v>
      </c>
      <c r="Q222" s="6">
        <f t="shared" si="77"/>
        <v>0</v>
      </c>
      <c r="R222" s="6">
        <f t="shared" si="78"/>
        <v>0</v>
      </c>
      <c r="S222" s="6">
        <f t="shared" si="79"/>
        <v>0.19384615384615386</v>
      </c>
      <c r="T222" s="83">
        <f t="shared" si="80"/>
        <v>-2.8634820654102111E-2</v>
      </c>
      <c r="W222" s="80"/>
      <c r="X222" s="81">
        <f t="shared" si="71"/>
        <v>0.39134454061987911</v>
      </c>
      <c r="Y222">
        <f t="shared" si="81"/>
        <v>0.65222870996260762</v>
      </c>
      <c r="Z222" s="81">
        <f t="shared" ref="Z222:Z275" si="89">0.5+D209/(SQRT(2*PI()))</f>
        <v>40.394228040143275</v>
      </c>
    </row>
    <row r="223" spans="1:26" hidden="1" x14ac:dyDescent="0.35">
      <c r="A223" s="36">
        <v>0.25</v>
      </c>
      <c r="B223" s="8">
        <v>0.06</v>
      </c>
      <c r="C223" s="5">
        <f t="shared" si="82"/>
        <v>6</v>
      </c>
      <c r="D223" s="81">
        <v>100</v>
      </c>
      <c r="E223" s="5">
        <f t="shared" si="83"/>
        <v>106</v>
      </c>
      <c r="F223" s="5">
        <f t="shared" si="84"/>
        <v>6</v>
      </c>
      <c r="G223" s="8">
        <f t="shared" si="85"/>
        <v>9.9735570100358176E-2</v>
      </c>
      <c r="H223" s="5">
        <f t="shared" si="86"/>
        <v>9.9735570100358171</v>
      </c>
      <c r="I223" s="80">
        <f t="shared" si="72"/>
        <v>7.5215890208233418</v>
      </c>
      <c r="J223" s="80">
        <f t="shared" si="87"/>
        <v>0.75415310838999561</v>
      </c>
      <c r="K223" s="81">
        <f t="shared" si="88"/>
        <v>0.21264540555169378</v>
      </c>
      <c r="L223" s="5">
        <f t="shared" si="73"/>
        <v>0.25</v>
      </c>
      <c r="M223" s="80">
        <f t="shared" si="70"/>
        <v>-3.7354594448306216E-2</v>
      </c>
      <c r="N223" s="80">
        <f t="shared" si="74"/>
        <v>0.2330756324959033</v>
      </c>
      <c r="O223" s="6">
        <f t="shared" si="75"/>
        <v>0</v>
      </c>
      <c r="P223" s="6">
        <f t="shared" si="76"/>
        <v>0</v>
      </c>
      <c r="Q223" s="6">
        <f t="shared" si="77"/>
        <v>0</v>
      </c>
      <c r="R223" s="6">
        <f t="shared" si="78"/>
        <v>0</v>
      </c>
      <c r="S223" s="6">
        <f t="shared" si="79"/>
        <v>0.24038461538461539</v>
      </c>
      <c r="T223" s="83">
        <f t="shared" si="80"/>
        <v>-2.7739209832921607E-2</v>
      </c>
      <c r="W223" s="80"/>
      <c r="X223" s="81">
        <f t="shared" si="71"/>
        <v>0.3580756324959033</v>
      </c>
      <c r="Y223">
        <f t="shared" si="81"/>
        <v>0.63985664294715694</v>
      </c>
      <c r="Z223" s="81">
        <f t="shared" si="89"/>
        <v>40.394228040143275</v>
      </c>
    </row>
    <row r="224" spans="1:26" hidden="1" x14ac:dyDescent="0.35">
      <c r="A224" s="36">
        <v>0.3</v>
      </c>
      <c r="B224" s="8">
        <v>0.06</v>
      </c>
      <c r="C224" s="5">
        <f t="shared" si="82"/>
        <v>6</v>
      </c>
      <c r="D224" s="81">
        <v>100</v>
      </c>
      <c r="E224" s="5">
        <f t="shared" si="83"/>
        <v>106</v>
      </c>
      <c r="F224" s="5">
        <f t="shared" si="84"/>
        <v>6</v>
      </c>
      <c r="G224" s="8">
        <f t="shared" si="85"/>
        <v>0.1196826841204298</v>
      </c>
      <c r="H224" s="5">
        <f t="shared" si="86"/>
        <v>11.968268412042979</v>
      </c>
      <c r="I224" s="80">
        <f t="shared" si="72"/>
        <v>9.5103673460013454</v>
      </c>
      <c r="J224" s="80">
        <f t="shared" si="87"/>
        <v>0.7946318563871454</v>
      </c>
      <c r="K224" s="81">
        <f t="shared" si="88"/>
        <v>0.26100989173123645</v>
      </c>
      <c r="L224" s="5">
        <f t="shared" si="73"/>
        <v>0.3</v>
      </c>
      <c r="M224" s="80">
        <f t="shared" si="70"/>
        <v>-3.8990108268763535E-2</v>
      </c>
      <c r="N224" s="80">
        <f t="shared" si="74"/>
        <v>0.19422969374658608</v>
      </c>
      <c r="O224" s="6">
        <f t="shared" si="75"/>
        <v>0</v>
      </c>
      <c r="P224" s="6">
        <f t="shared" si="76"/>
        <v>0</v>
      </c>
      <c r="Q224" s="6">
        <f t="shared" si="77"/>
        <v>0</v>
      </c>
      <c r="R224" s="6">
        <f t="shared" si="78"/>
        <v>0</v>
      </c>
      <c r="S224" s="6">
        <f t="shared" si="79"/>
        <v>0.28615384615384615</v>
      </c>
      <c r="T224" s="83">
        <f t="shared" si="80"/>
        <v>-2.5143954422609693E-2</v>
      </c>
      <c r="W224" s="80"/>
      <c r="X224" s="81">
        <f t="shared" si="71"/>
        <v>0.34422969374658607</v>
      </c>
      <c r="Y224">
        <f t="shared" si="81"/>
        <v>0.63466322353763016</v>
      </c>
      <c r="Z224" s="81">
        <f t="shared" si="89"/>
        <v>40.394228040143275</v>
      </c>
    </row>
    <row r="225" spans="1:26" hidden="1" x14ac:dyDescent="0.35">
      <c r="A225" s="36">
        <v>0.35</v>
      </c>
      <c r="B225" s="8">
        <v>0.06</v>
      </c>
      <c r="C225" s="5">
        <f t="shared" si="82"/>
        <v>6</v>
      </c>
      <c r="D225" s="81">
        <v>100</v>
      </c>
      <c r="E225" s="5">
        <f t="shared" si="83"/>
        <v>106</v>
      </c>
      <c r="F225" s="5">
        <f t="shared" si="84"/>
        <v>6</v>
      </c>
      <c r="G225" s="8">
        <f t="shared" si="85"/>
        <v>0.13962979814050144</v>
      </c>
      <c r="H225" s="5">
        <f t="shared" si="86"/>
        <v>13.962979814050144</v>
      </c>
      <c r="I225" s="80">
        <f t="shared" si="72"/>
        <v>11.504554999163759</v>
      </c>
      <c r="J225" s="80">
        <f t="shared" si="87"/>
        <v>0.82393265279860872</v>
      </c>
      <c r="K225" s="81">
        <f t="shared" si="88"/>
        <v>0.30981096274521708</v>
      </c>
      <c r="L225" s="5">
        <f t="shared" si="73"/>
        <v>0.35</v>
      </c>
      <c r="M225" s="80">
        <f t="shared" si="70"/>
        <v>-4.01890372547829E-2</v>
      </c>
      <c r="N225" s="80">
        <f t="shared" si="74"/>
        <v>0.16648259463993093</v>
      </c>
      <c r="O225" s="6">
        <f t="shared" si="75"/>
        <v>0</v>
      </c>
      <c r="P225" s="6">
        <f t="shared" si="76"/>
        <v>0</v>
      </c>
      <c r="Q225" s="6">
        <f t="shared" si="77"/>
        <v>0</v>
      </c>
      <c r="R225" s="6">
        <f t="shared" si="78"/>
        <v>0</v>
      </c>
      <c r="S225" s="6">
        <f t="shared" si="79"/>
        <v>0.33115384615384613</v>
      </c>
      <c r="T225" s="83">
        <f t="shared" si="80"/>
        <v>-2.1342883408629054E-2</v>
      </c>
      <c r="W225" s="80"/>
      <c r="X225" s="81">
        <f t="shared" si="71"/>
        <v>0.34148259463993091</v>
      </c>
      <c r="Y225">
        <f t="shared" si="81"/>
        <v>0.63362984713066239</v>
      </c>
      <c r="Z225" s="81">
        <f t="shared" si="89"/>
        <v>40.394228040143275</v>
      </c>
    </row>
    <row r="226" spans="1:26" hidden="1" x14ac:dyDescent="0.35">
      <c r="A226" s="36">
        <v>0.4</v>
      </c>
      <c r="B226" s="8">
        <v>0.06</v>
      </c>
      <c r="C226" s="5">
        <f t="shared" si="82"/>
        <v>6</v>
      </c>
      <c r="D226" s="81">
        <v>100</v>
      </c>
      <c r="E226" s="5">
        <f t="shared" si="83"/>
        <v>106</v>
      </c>
      <c r="F226" s="5">
        <f t="shared" si="84"/>
        <v>6</v>
      </c>
      <c r="G226" s="8">
        <f t="shared" si="85"/>
        <v>0.1595769121605731</v>
      </c>
      <c r="H226" s="5">
        <f t="shared" si="86"/>
        <v>15.957691216057309</v>
      </c>
      <c r="I226" s="80">
        <f t="shared" si="72"/>
        <v>13.498078762442695</v>
      </c>
      <c r="J226" s="80">
        <f t="shared" si="87"/>
        <v>0.84586664697837699</v>
      </c>
      <c r="K226" s="81">
        <f t="shared" si="88"/>
        <v>0.35843672949175037</v>
      </c>
      <c r="L226" s="5">
        <f t="shared" si="73"/>
        <v>0.4</v>
      </c>
      <c r="M226" s="80">
        <f t="shared" si="70"/>
        <v>-4.156327050824965E-2</v>
      </c>
      <c r="N226" s="80">
        <f t="shared" si="74"/>
        <v>0.14567227030993954</v>
      </c>
      <c r="O226" s="6">
        <f t="shared" si="75"/>
        <v>0</v>
      </c>
      <c r="P226" s="6">
        <f t="shared" si="76"/>
        <v>0</v>
      </c>
      <c r="Q226" s="6">
        <f t="shared" si="77"/>
        <v>0</v>
      </c>
      <c r="R226" s="6">
        <f t="shared" si="78"/>
        <v>0</v>
      </c>
      <c r="S226" s="6">
        <f t="shared" si="79"/>
        <v>0.37538461538461543</v>
      </c>
      <c r="T226" s="83">
        <f t="shared" si="80"/>
        <v>-1.6947885892865056E-2</v>
      </c>
      <c r="W226" s="80"/>
      <c r="X226" s="81">
        <f t="shared" si="71"/>
        <v>0.34567227030993952</v>
      </c>
      <c r="Y226">
        <f t="shared" si="81"/>
        <v>0.63520548694466539</v>
      </c>
      <c r="Z226" s="81">
        <f t="shared" si="89"/>
        <v>40.394228040143275</v>
      </c>
    </row>
    <row r="227" spans="1:26" hidden="1" x14ac:dyDescent="0.35">
      <c r="A227" s="36">
        <v>0.5</v>
      </c>
      <c r="B227" s="8">
        <v>0.06</v>
      </c>
      <c r="C227" s="5">
        <f t="shared" si="82"/>
        <v>6</v>
      </c>
      <c r="D227" s="81">
        <v>100</v>
      </c>
      <c r="E227" s="5">
        <f t="shared" si="83"/>
        <v>106</v>
      </c>
      <c r="F227" s="5">
        <f t="shared" si="84"/>
        <v>6</v>
      </c>
      <c r="G227" s="8">
        <f t="shared" si="85"/>
        <v>0.19947114020071635</v>
      </c>
      <c r="H227" s="5">
        <f t="shared" si="86"/>
        <v>19.947114020071634</v>
      </c>
      <c r="I227" s="80">
        <f t="shared" si="72"/>
        <v>17.468525132302034</v>
      </c>
      <c r="J227" s="80">
        <f t="shared" si="87"/>
        <v>0.87574198025461036</v>
      </c>
      <c r="K227" s="81">
        <f t="shared" si="88"/>
        <v>0.45220299329639385</v>
      </c>
      <c r="L227" s="5">
        <f t="shared" si="73"/>
        <v>0.5</v>
      </c>
      <c r="M227" s="80">
        <f t="shared" si="70"/>
        <v>-4.7797006703606149E-2</v>
      </c>
      <c r="N227" s="80">
        <f t="shared" si="74"/>
        <v>0.11653781624795165</v>
      </c>
      <c r="O227" s="6">
        <f t="shared" si="75"/>
        <v>0</v>
      </c>
      <c r="P227" s="6">
        <f t="shared" si="76"/>
        <v>0</v>
      </c>
      <c r="Q227" s="6">
        <f t="shared" si="77"/>
        <v>0</v>
      </c>
      <c r="R227" s="6">
        <f t="shared" si="78"/>
        <v>0</v>
      </c>
      <c r="S227" s="6">
        <f t="shared" si="79"/>
        <v>0.46153846153846156</v>
      </c>
      <c r="T227" s="83">
        <f t="shared" si="80"/>
        <v>-9.3354682420677126E-3</v>
      </c>
      <c r="W227" s="80"/>
      <c r="X227" s="81">
        <f t="shared" si="71"/>
        <v>0.36653781624795168</v>
      </c>
      <c r="Y227">
        <f t="shared" si="81"/>
        <v>0.64301810014710847</v>
      </c>
      <c r="Z227" s="81">
        <f t="shared" si="89"/>
        <v>40.394228040143275</v>
      </c>
    </row>
    <row r="228" spans="1:26" hidden="1" x14ac:dyDescent="0.35">
      <c r="A228" s="36">
        <v>0.6</v>
      </c>
      <c r="B228" s="8">
        <v>0.06</v>
      </c>
      <c r="C228" s="5">
        <f t="shared" si="82"/>
        <v>6</v>
      </c>
      <c r="D228" s="81">
        <v>100</v>
      </c>
      <c r="E228" s="5">
        <f t="shared" si="83"/>
        <v>106</v>
      </c>
      <c r="F228" s="5">
        <f t="shared" si="84"/>
        <v>6</v>
      </c>
      <c r="G228" s="8">
        <f t="shared" si="85"/>
        <v>0.23936536824085961</v>
      </c>
      <c r="H228" s="5">
        <f t="shared" si="86"/>
        <v>23.936536824085959</v>
      </c>
      <c r="I228" s="80">
        <f t="shared" si="72"/>
        <v>21.400773131896052</v>
      </c>
      <c r="J228" s="80">
        <f t="shared" si="87"/>
        <v>0.89406305052290136</v>
      </c>
      <c r="K228" s="81">
        <f t="shared" si="88"/>
        <v>0.5358148467581354</v>
      </c>
      <c r="L228" s="5">
        <f t="shared" si="73"/>
        <v>0.6</v>
      </c>
      <c r="M228" s="80">
        <f t="shared" si="70"/>
        <v>-6.4185153241864579E-2</v>
      </c>
      <c r="N228" s="80">
        <f t="shared" si="74"/>
        <v>9.711484687329304E-2</v>
      </c>
      <c r="O228" s="6">
        <f t="shared" si="75"/>
        <v>0</v>
      </c>
      <c r="P228" s="6">
        <f t="shared" si="76"/>
        <v>0</v>
      </c>
      <c r="Q228" s="6">
        <f t="shared" si="77"/>
        <v>0</v>
      </c>
      <c r="R228" s="6">
        <f t="shared" si="78"/>
        <v>0</v>
      </c>
      <c r="S228" s="6">
        <f t="shared" si="79"/>
        <v>0.54461538461538461</v>
      </c>
      <c r="T228" s="83">
        <f t="shared" si="80"/>
        <v>-8.8005378572492132E-3</v>
      </c>
      <c r="W228" s="80"/>
      <c r="X228" s="81">
        <f t="shared" si="71"/>
        <v>0.39711484687329301</v>
      </c>
      <c r="Y228">
        <f t="shared" si="81"/>
        <v>0.65435861399886552</v>
      </c>
      <c r="Z228" s="81">
        <f t="shared" si="89"/>
        <v>40.394228040143275</v>
      </c>
    </row>
    <row r="229" spans="1:26" hidden="1" x14ac:dyDescent="0.35">
      <c r="A229" s="36">
        <v>0.01</v>
      </c>
      <c r="B229" s="8">
        <v>7.0000000000000007E-2</v>
      </c>
      <c r="C229" s="5">
        <f t="shared" si="82"/>
        <v>7.0000000000000009</v>
      </c>
      <c r="D229" s="81">
        <v>100</v>
      </c>
      <c r="E229" s="5">
        <f t="shared" si="83"/>
        <v>107</v>
      </c>
      <c r="F229" s="5">
        <f t="shared" si="84"/>
        <v>7</v>
      </c>
      <c r="G229" s="8">
        <f t="shared" si="85"/>
        <v>3.9894228040143268E-3</v>
      </c>
      <c r="H229" s="5">
        <f t="shared" si="86"/>
        <v>0.39894228040143265</v>
      </c>
      <c r="I229" s="80">
        <f t="shared" si="72"/>
        <v>9.6633812063373625E-13</v>
      </c>
      <c r="J229" s="80">
        <f t="shared" si="87"/>
        <v>2.422250456034306E-12</v>
      </c>
      <c r="K229" s="81">
        <f t="shared" si="88"/>
        <v>2.6171820779432309E-3</v>
      </c>
      <c r="L229" s="5">
        <f t="shared" si="73"/>
        <v>0.01</v>
      </c>
      <c r="M229" s="80">
        <f t="shared" si="70"/>
        <v>-7.3828179220567693E-3</v>
      </c>
      <c r="N229" s="80">
        <f t="shared" si="74"/>
        <v>6.7658648473814864</v>
      </c>
      <c r="O229" s="6">
        <f t="shared" si="75"/>
        <v>0</v>
      </c>
      <c r="P229" s="6">
        <f t="shared" si="76"/>
        <v>0</v>
      </c>
      <c r="Q229" s="6">
        <f t="shared" si="77"/>
        <v>0</v>
      </c>
      <c r="R229" s="6">
        <f t="shared" si="78"/>
        <v>0</v>
      </c>
      <c r="S229" s="6">
        <f t="shared" si="79"/>
        <v>9.9866666666666663E-3</v>
      </c>
      <c r="T229" s="83">
        <f t="shared" si="80"/>
        <v>-7.3694845887234354E-3</v>
      </c>
      <c r="W229" s="80"/>
      <c r="X229" s="81">
        <f t="shared" si="71"/>
        <v>6.7708648473814863</v>
      </c>
      <c r="Y229">
        <f t="shared" si="81"/>
        <v>0.99999999999359923</v>
      </c>
      <c r="Z229" s="81">
        <f t="shared" si="89"/>
        <v>40.394228040143275</v>
      </c>
    </row>
    <row r="230" spans="1:26" hidden="1" x14ac:dyDescent="0.35">
      <c r="A230" s="36">
        <v>0.02</v>
      </c>
      <c r="B230" s="8">
        <v>7.0000000000000007E-2</v>
      </c>
      <c r="C230" s="5">
        <f t="shared" si="82"/>
        <v>7.0000000000000009</v>
      </c>
      <c r="D230" s="81">
        <v>100</v>
      </c>
      <c r="E230" s="5">
        <f t="shared" si="83"/>
        <v>107</v>
      </c>
      <c r="F230" s="5">
        <f t="shared" si="84"/>
        <v>7</v>
      </c>
      <c r="G230" s="8">
        <f t="shared" si="85"/>
        <v>7.9788456080286535E-3</v>
      </c>
      <c r="H230" s="5">
        <f t="shared" si="86"/>
        <v>0.79788456080286529</v>
      </c>
      <c r="I230" s="80">
        <f t="shared" si="72"/>
        <v>1.9154986806313445E-4</v>
      </c>
      <c r="J230" s="80">
        <f t="shared" si="87"/>
        <v>2.4007215764444527E-4</v>
      </c>
      <c r="K230" s="81">
        <f t="shared" si="88"/>
        <v>8.3987525941258464E-3</v>
      </c>
      <c r="L230" s="5">
        <f t="shared" si="73"/>
        <v>0.02</v>
      </c>
      <c r="M230" s="80">
        <f t="shared" si="70"/>
        <v>-1.1601247405874154E-2</v>
      </c>
      <c r="N230" s="80">
        <f t="shared" si="74"/>
        <v>3.3829324236907432</v>
      </c>
      <c r="O230" s="6">
        <f t="shared" si="75"/>
        <v>0</v>
      </c>
      <c r="P230" s="6">
        <f t="shared" si="76"/>
        <v>0</v>
      </c>
      <c r="Q230" s="6">
        <f t="shared" si="77"/>
        <v>0</v>
      </c>
      <c r="R230" s="6">
        <f t="shared" si="78"/>
        <v>0</v>
      </c>
      <c r="S230" s="6">
        <f t="shared" si="79"/>
        <v>1.9946666666666668E-2</v>
      </c>
      <c r="T230" s="83">
        <f t="shared" si="80"/>
        <v>-1.1547914072540822E-2</v>
      </c>
      <c r="W230" s="80"/>
      <c r="X230" s="81">
        <f t="shared" si="71"/>
        <v>3.392932423690743</v>
      </c>
      <c r="Y230">
        <f t="shared" si="81"/>
        <v>0.999654256526741</v>
      </c>
      <c r="Z230" s="81">
        <f t="shared" si="89"/>
        <v>40.394228040143275</v>
      </c>
    </row>
    <row r="231" spans="1:26" hidden="1" x14ac:dyDescent="0.35">
      <c r="A231" s="36">
        <v>0.05</v>
      </c>
      <c r="B231" s="8">
        <v>7.0000000000000007E-2</v>
      </c>
      <c r="C231" s="5">
        <f t="shared" si="82"/>
        <v>7.0000000000000009</v>
      </c>
      <c r="D231" s="81">
        <v>100</v>
      </c>
      <c r="E231" s="5">
        <f t="shared" si="83"/>
        <v>107</v>
      </c>
      <c r="F231" s="5">
        <f t="shared" si="84"/>
        <v>7</v>
      </c>
      <c r="G231" s="8">
        <f t="shared" si="85"/>
        <v>1.9947114020071637E-2</v>
      </c>
      <c r="H231" s="5">
        <f t="shared" si="86"/>
        <v>1.9947114020071637</v>
      </c>
      <c r="I231" s="80">
        <f t="shared" si="72"/>
        <v>0.21002944246311017</v>
      </c>
      <c r="J231" s="80">
        <f t="shared" si="87"/>
        <v>0.10529314779660336</v>
      </c>
      <c r="K231" s="81">
        <f t="shared" si="88"/>
        <v>3.1097194285803424E-2</v>
      </c>
      <c r="L231" s="5">
        <f t="shared" si="73"/>
        <v>0.05</v>
      </c>
      <c r="M231" s="80">
        <f t="shared" si="70"/>
        <v>-1.8902805714196579E-2</v>
      </c>
      <c r="N231" s="80">
        <f t="shared" si="74"/>
        <v>1.3531729694762973</v>
      </c>
      <c r="O231" s="6">
        <f t="shared" si="75"/>
        <v>0</v>
      </c>
      <c r="P231" s="6">
        <f t="shared" si="76"/>
        <v>0</v>
      </c>
      <c r="Q231" s="6">
        <f t="shared" si="77"/>
        <v>0</v>
      </c>
      <c r="R231" s="6">
        <f t="shared" si="78"/>
        <v>0</v>
      </c>
      <c r="S231" s="6">
        <f t="shared" si="79"/>
        <v>4.9666666666666671E-2</v>
      </c>
      <c r="T231" s="83">
        <f t="shared" si="80"/>
        <v>-1.8569472380863247E-2</v>
      </c>
      <c r="W231" s="80"/>
      <c r="X231" s="81">
        <f t="shared" si="71"/>
        <v>1.3781729694762972</v>
      </c>
      <c r="Y231">
        <f t="shared" si="81"/>
        <v>0.91592505464350682</v>
      </c>
      <c r="Z231" s="81">
        <f t="shared" si="89"/>
        <v>40.394228040143275</v>
      </c>
    </row>
    <row r="232" spans="1:26" hidden="1" x14ac:dyDescent="0.35">
      <c r="A232" s="36">
        <v>0.08</v>
      </c>
      <c r="B232" s="8">
        <v>7.0000000000000007E-2</v>
      </c>
      <c r="C232" s="5">
        <f t="shared" si="82"/>
        <v>7.0000000000000009</v>
      </c>
      <c r="D232" s="81">
        <v>100</v>
      </c>
      <c r="E232" s="5">
        <f t="shared" si="83"/>
        <v>107</v>
      </c>
      <c r="F232" s="5">
        <f t="shared" si="84"/>
        <v>7</v>
      </c>
      <c r="G232" s="8">
        <f t="shared" si="85"/>
        <v>3.1915382432114614E-2</v>
      </c>
      <c r="H232" s="5">
        <f t="shared" si="86"/>
        <v>3.1915382432114612</v>
      </c>
      <c r="I232" s="80">
        <f t="shared" si="72"/>
        <v>0.91660483169390261</v>
      </c>
      <c r="J232" s="80">
        <f t="shared" si="87"/>
        <v>0.28719844847341575</v>
      </c>
      <c r="K232" s="81">
        <f t="shared" si="88"/>
        <v>5.6108543365310536E-2</v>
      </c>
      <c r="L232" s="5">
        <f t="shared" si="73"/>
        <v>0.08</v>
      </c>
      <c r="M232" s="80">
        <f t="shared" si="70"/>
        <v>-2.3891456634689466E-2</v>
      </c>
      <c r="N232" s="80">
        <f t="shared" si="74"/>
        <v>0.8457331059226858</v>
      </c>
      <c r="O232" s="6">
        <f t="shared" si="75"/>
        <v>0</v>
      </c>
      <c r="P232" s="6">
        <f t="shared" si="76"/>
        <v>0</v>
      </c>
      <c r="Q232" s="6">
        <f t="shared" si="77"/>
        <v>0</v>
      </c>
      <c r="R232" s="6">
        <f t="shared" si="78"/>
        <v>0</v>
      </c>
      <c r="S232" s="6">
        <f t="shared" si="79"/>
        <v>7.9146666666666671E-2</v>
      </c>
      <c r="T232" s="83">
        <f t="shared" si="80"/>
        <v>-2.3038123301356135E-2</v>
      </c>
      <c r="W232" s="80"/>
      <c r="X232" s="81">
        <f t="shared" si="71"/>
        <v>0.88573310592268584</v>
      </c>
      <c r="Y232">
        <f t="shared" si="81"/>
        <v>0.81211931789586123</v>
      </c>
      <c r="Z232" s="81">
        <f t="shared" si="89"/>
        <v>40.394228040143275</v>
      </c>
    </row>
    <row r="233" spans="1:26" hidden="1" x14ac:dyDescent="0.35">
      <c r="A233" s="36">
        <v>0.1</v>
      </c>
      <c r="B233" s="8">
        <v>7.0000000000000007E-2</v>
      </c>
      <c r="C233" s="5">
        <f t="shared" si="82"/>
        <v>7.0000000000000009</v>
      </c>
      <c r="D233" s="81">
        <v>100</v>
      </c>
      <c r="E233" s="5">
        <f t="shared" si="83"/>
        <v>107</v>
      </c>
      <c r="F233" s="5">
        <f t="shared" si="84"/>
        <v>7</v>
      </c>
      <c r="G233" s="8">
        <f t="shared" si="85"/>
        <v>3.9894228040143274E-2</v>
      </c>
      <c r="H233" s="5">
        <f t="shared" si="86"/>
        <v>3.9894228040143274</v>
      </c>
      <c r="I233" s="80">
        <f t="shared" si="72"/>
        <v>1.5363734057617648</v>
      </c>
      <c r="J233" s="80">
        <f t="shared" si="87"/>
        <v>0.38511170192735661</v>
      </c>
      <c r="K233" s="81">
        <f t="shared" si="88"/>
        <v>7.3358202666063965E-2</v>
      </c>
      <c r="L233" s="5">
        <f t="shared" si="73"/>
        <v>0.1</v>
      </c>
      <c r="M233" s="80">
        <f t="shared" si="70"/>
        <v>-2.664179733393604E-2</v>
      </c>
      <c r="N233" s="80">
        <f t="shared" si="74"/>
        <v>0.67658648473814864</v>
      </c>
      <c r="O233" s="6">
        <f t="shared" si="75"/>
        <v>0</v>
      </c>
      <c r="P233" s="6">
        <f t="shared" si="76"/>
        <v>0</v>
      </c>
      <c r="Q233" s="6">
        <f t="shared" si="77"/>
        <v>0</v>
      </c>
      <c r="R233" s="6">
        <f t="shared" si="78"/>
        <v>0</v>
      </c>
      <c r="S233" s="6">
        <f t="shared" si="79"/>
        <v>9.8666666666666666E-2</v>
      </c>
      <c r="T233" s="83">
        <f t="shared" si="80"/>
        <v>-2.5308464000602701E-2</v>
      </c>
      <c r="W233" s="80"/>
      <c r="X233" s="81">
        <f t="shared" si="71"/>
        <v>0.72658648473814869</v>
      </c>
      <c r="Y233">
        <f t="shared" si="81"/>
        <v>0.76626034498309303</v>
      </c>
      <c r="Z233" s="81">
        <f t="shared" si="89"/>
        <v>40.394228040143275</v>
      </c>
    </row>
    <row r="234" spans="1:26" hidden="1" x14ac:dyDescent="0.35">
      <c r="A234" s="36">
        <v>0.12</v>
      </c>
      <c r="B234" s="8">
        <v>7.0000000000000007E-2</v>
      </c>
      <c r="C234" s="5">
        <f t="shared" si="82"/>
        <v>7.0000000000000009</v>
      </c>
      <c r="D234" s="81">
        <v>100</v>
      </c>
      <c r="E234" s="5">
        <f t="shared" si="83"/>
        <v>107</v>
      </c>
      <c r="F234" s="5">
        <f t="shared" si="84"/>
        <v>7</v>
      </c>
      <c r="G234" s="8">
        <f t="shared" si="85"/>
        <v>4.7873073648171921E-2</v>
      </c>
      <c r="H234" s="5">
        <f t="shared" si="86"/>
        <v>4.7873073648171918</v>
      </c>
      <c r="I234" s="80">
        <f t="shared" si="72"/>
        <v>2.2174931147427372</v>
      </c>
      <c r="J234" s="80">
        <f t="shared" si="87"/>
        <v>0.46320257835114259</v>
      </c>
      <c r="K234" s="81">
        <f t="shared" si="88"/>
        <v>9.0957429898506539E-2</v>
      </c>
      <c r="L234" s="5">
        <f t="shared" si="73"/>
        <v>0.12</v>
      </c>
      <c r="M234" s="80">
        <f t="shared" si="70"/>
        <v>-2.9042570101493456E-2</v>
      </c>
      <c r="N234" s="80">
        <f t="shared" si="74"/>
        <v>0.5638220706151239</v>
      </c>
      <c r="O234" s="6">
        <f t="shared" si="75"/>
        <v>0</v>
      </c>
      <c r="P234" s="6">
        <f t="shared" si="76"/>
        <v>0</v>
      </c>
      <c r="Q234" s="6">
        <f t="shared" si="77"/>
        <v>0</v>
      </c>
      <c r="R234" s="6">
        <f t="shared" si="78"/>
        <v>0</v>
      </c>
      <c r="S234" s="6">
        <f t="shared" si="79"/>
        <v>0.11807999999999999</v>
      </c>
      <c r="T234" s="83">
        <f t="shared" si="80"/>
        <v>-2.7122570101493451E-2</v>
      </c>
      <c r="W234" s="80"/>
      <c r="X234" s="81">
        <f t="shared" si="71"/>
        <v>0.62382207061512385</v>
      </c>
      <c r="Y234">
        <f t="shared" si="81"/>
        <v>0.73362777826763659</v>
      </c>
      <c r="Z234" s="81">
        <f t="shared" si="89"/>
        <v>40.394228040143275</v>
      </c>
    </row>
    <row r="235" spans="1:26" hidden="1" x14ac:dyDescent="0.35">
      <c r="A235" s="36">
        <v>0.15</v>
      </c>
      <c r="B235" s="8">
        <v>7.0000000000000007E-2</v>
      </c>
      <c r="C235" s="5">
        <f t="shared" si="82"/>
        <v>7.0000000000000009</v>
      </c>
      <c r="D235" s="81">
        <v>100</v>
      </c>
      <c r="E235" s="5">
        <f t="shared" si="83"/>
        <v>107</v>
      </c>
      <c r="F235" s="5">
        <f t="shared" si="84"/>
        <v>7</v>
      </c>
      <c r="G235" s="8">
        <f t="shared" si="85"/>
        <v>5.9841342060214901E-2</v>
      </c>
      <c r="H235" s="5">
        <f t="shared" si="86"/>
        <v>5.9841342060214897</v>
      </c>
      <c r="I235" s="80">
        <f t="shared" si="72"/>
        <v>3.3053257371116445</v>
      </c>
      <c r="J235" s="80">
        <f t="shared" si="87"/>
        <v>0.5523481966339735</v>
      </c>
      <c r="K235" s="81">
        <f t="shared" si="88"/>
        <v>0.11792916906769539</v>
      </c>
      <c r="L235" s="5">
        <f t="shared" si="73"/>
        <v>0.15</v>
      </c>
      <c r="M235" s="80">
        <f t="shared" si="70"/>
        <v>-3.2070830932304603E-2</v>
      </c>
      <c r="N235" s="80">
        <f t="shared" si="74"/>
        <v>0.45105765649209911</v>
      </c>
      <c r="O235" s="6">
        <f t="shared" si="75"/>
        <v>0</v>
      </c>
      <c r="P235" s="6">
        <f t="shared" si="76"/>
        <v>0</v>
      </c>
      <c r="Q235" s="6">
        <f t="shared" si="77"/>
        <v>0</v>
      </c>
      <c r="R235" s="6">
        <f t="shared" si="78"/>
        <v>0</v>
      </c>
      <c r="S235" s="6">
        <f t="shared" si="79"/>
        <v>0.14699999999999999</v>
      </c>
      <c r="T235" s="83">
        <f t="shared" si="80"/>
        <v>-2.90708309323046E-2</v>
      </c>
      <c r="W235" s="80"/>
      <c r="X235" s="81">
        <f t="shared" si="71"/>
        <v>0.52605765649209912</v>
      </c>
      <c r="Y235">
        <f t="shared" si="81"/>
        <v>0.70057592611256347</v>
      </c>
      <c r="Z235" s="81">
        <f t="shared" si="89"/>
        <v>40.394228040143275</v>
      </c>
    </row>
    <row r="236" spans="1:26" hidden="1" x14ac:dyDescent="0.35">
      <c r="A236" s="36">
        <v>0.2</v>
      </c>
      <c r="B236" s="8">
        <v>7.0000000000000007E-2</v>
      </c>
      <c r="C236" s="5">
        <f t="shared" si="82"/>
        <v>7.0000000000000009</v>
      </c>
      <c r="D236" s="81">
        <v>100</v>
      </c>
      <c r="E236" s="5">
        <f t="shared" si="83"/>
        <v>107</v>
      </c>
      <c r="F236" s="5">
        <f t="shared" si="84"/>
        <v>7</v>
      </c>
      <c r="G236" s="8">
        <f t="shared" si="85"/>
        <v>7.9788456080286549E-2</v>
      </c>
      <c r="H236" s="5">
        <f t="shared" si="86"/>
        <v>7.9788456080286547</v>
      </c>
      <c r="I236" s="80">
        <f t="shared" si="72"/>
        <v>5.2098888801470196</v>
      </c>
      <c r="J236" s="80">
        <f t="shared" si="87"/>
        <v>0.65296273873310784</v>
      </c>
      <c r="K236" s="81">
        <f t="shared" si="88"/>
        <v>0.16422857113940123</v>
      </c>
      <c r="L236" s="5">
        <f t="shared" si="73"/>
        <v>0.2</v>
      </c>
      <c r="M236" s="80">
        <f t="shared" si="70"/>
        <v>-3.5771428860598781E-2</v>
      </c>
      <c r="N236" s="80">
        <f t="shared" si="74"/>
        <v>0.33829324236907432</v>
      </c>
      <c r="O236" s="6">
        <f t="shared" si="75"/>
        <v>0</v>
      </c>
      <c r="P236" s="6">
        <f t="shared" si="76"/>
        <v>0</v>
      </c>
      <c r="Q236" s="6">
        <f t="shared" si="77"/>
        <v>0</v>
      </c>
      <c r="R236" s="6">
        <f t="shared" si="78"/>
        <v>0</v>
      </c>
      <c r="S236" s="6">
        <f t="shared" si="79"/>
        <v>0.19466666666666668</v>
      </c>
      <c r="T236" s="83">
        <f t="shared" si="80"/>
        <v>-3.0438095527265452E-2</v>
      </c>
      <c r="W236" s="80"/>
      <c r="X236" s="81">
        <f t="shared" si="71"/>
        <v>0.4382932423690743</v>
      </c>
      <c r="Y236">
        <f t="shared" si="81"/>
        <v>0.66941313802808222</v>
      </c>
      <c r="Z236" s="81">
        <f t="shared" si="89"/>
        <v>40.394228040143275</v>
      </c>
    </row>
    <row r="237" spans="1:26" hidden="1" x14ac:dyDescent="0.35">
      <c r="A237" s="36">
        <v>0.25</v>
      </c>
      <c r="B237" s="8">
        <v>7.0000000000000007E-2</v>
      </c>
      <c r="C237" s="5">
        <f t="shared" si="82"/>
        <v>7.0000000000000009</v>
      </c>
      <c r="D237" s="81">
        <v>100</v>
      </c>
      <c r="E237" s="5">
        <f t="shared" si="83"/>
        <v>107</v>
      </c>
      <c r="F237" s="5">
        <f t="shared" si="84"/>
        <v>7</v>
      </c>
      <c r="G237" s="8">
        <f t="shared" si="85"/>
        <v>9.9735570100358176E-2</v>
      </c>
      <c r="H237" s="5">
        <f t="shared" si="86"/>
        <v>9.9735570100358171</v>
      </c>
      <c r="I237" s="80">
        <f t="shared" si="72"/>
        <v>7.1684510702402662</v>
      </c>
      <c r="J237" s="80">
        <f t="shared" si="87"/>
        <v>0.71874568551892426</v>
      </c>
      <c r="K237" s="81">
        <f t="shared" si="88"/>
        <v>0.21196211872147697</v>
      </c>
      <c r="L237" s="5">
        <f t="shared" si="73"/>
        <v>0.25</v>
      </c>
      <c r="M237" s="80">
        <f t="shared" si="70"/>
        <v>-3.8037881278523034E-2</v>
      </c>
      <c r="N237" s="80">
        <f t="shared" si="74"/>
        <v>0.27063459389525946</v>
      </c>
      <c r="O237" s="6">
        <f t="shared" si="75"/>
        <v>0</v>
      </c>
      <c r="P237" s="6">
        <f t="shared" si="76"/>
        <v>0</v>
      </c>
      <c r="Q237" s="6">
        <f t="shared" si="77"/>
        <v>0</v>
      </c>
      <c r="R237" s="6">
        <f t="shared" si="78"/>
        <v>0</v>
      </c>
      <c r="S237" s="6">
        <f t="shared" si="79"/>
        <v>0.24166666666666667</v>
      </c>
      <c r="T237" s="83">
        <f t="shared" si="80"/>
        <v>-2.9704547945189702E-2</v>
      </c>
      <c r="W237" s="80"/>
      <c r="X237" s="81">
        <f t="shared" si="71"/>
        <v>0.39563459389525946</v>
      </c>
      <c r="Y237">
        <f t="shared" si="81"/>
        <v>0.65381269357918748</v>
      </c>
      <c r="Z237" s="81">
        <f t="shared" si="89"/>
        <v>40.394228040143275</v>
      </c>
    </row>
    <row r="238" spans="1:26" hidden="1" x14ac:dyDescent="0.35">
      <c r="A238" s="36">
        <v>0.3</v>
      </c>
      <c r="B238" s="8">
        <v>7.0000000000000007E-2</v>
      </c>
      <c r="C238" s="5">
        <f t="shared" si="82"/>
        <v>7.0000000000000009</v>
      </c>
      <c r="D238" s="81">
        <v>100</v>
      </c>
      <c r="E238" s="5">
        <f t="shared" si="83"/>
        <v>107</v>
      </c>
      <c r="F238" s="5">
        <f t="shared" si="84"/>
        <v>7</v>
      </c>
      <c r="G238" s="8">
        <f t="shared" si="85"/>
        <v>0.1196826841204298</v>
      </c>
      <c r="H238" s="5">
        <f t="shared" si="86"/>
        <v>11.968268412042979</v>
      </c>
      <c r="I238" s="80">
        <f t="shared" si="72"/>
        <v>9.1509022975768417</v>
      </c>
      <c r="J238" s="80">
        <f t="shared" si="87"/>
        <v>0.76459701458306328</v>
      </c>
      <c r="K238" s="81">
        <f t="shared" si="88"/>
        <v>0.26079858691397939</v>
      </c>
      <c r="L238" s="5">
        <f t="shared" si="73"/>
        <v>0.3</v>
      </c>
      <c r="M238" s="80">
        <f t="shared" si="70"/>
        <v>-3.9201413086020598E-2</v>
      </c>
      <c r="N238" s="80">
        <f t="shared" si="74"/>
        <v>0.22552882824604956</v>
      </c>
      <c r="O238" s="6">
        <f t="shared" si="75"/>
        <v>0</v>
      </c>
      <c r="P238" s="6">
        <f t="shared" si="76"/>
        <v>0</v>
      </c>
      <c r="Q238" s="6">
        <f t="shared" si="77"/>
        <v>0</v>
      </c>
      <c r="R238" s="6">
        <f t="shared" si="78"/>
        <v>0</v>
      </c>
      <c r="S238" s="6">
        <f t="shared" si="79"/>
        <v>0.28799999999999998</v>
      </c>
      <c r="T238" s="83">
        <f t="shared" si="80"/>
        <v>-2.7201413086020587E-2</v>
      </c>
      <c r="W238" s="80"/>
      <c r="X238" s="81">
        <f t="shared" si="71"/>
        <v>0.37552882824604955</v>
      </c>
      <c r="Y238">
        <f t="shared" si="81"/>
        <v>0.64636639464328527</v>
      </c>
      <c r="Z238" s="81">
        <f t="shared" si="89"/>
        <v>40.394228040143275</v>
      </c>
    </row>
    <row r="239" spans="1:26" hidden="1" x14ac:dyDescent="0.35">
      <c r="A239" s="36">
        <v>0.35</v>
      </c>
      <c r="B239" s="8">
        <v>7.0000000000000007E-2</v>
      </c>
      <c r="C239" s="5">
        <f t="shared" si="82"/>
        <v>7.0000000000000009</v>
      </c>
      <c r="D239" s="81">
        <v>100</v>
      </c>
      <c r="E239" s="5">
        <f t="shared" si="83"/>
        <v>107</v>
      </c>
      <c r="F239" s="5">
        <f t="shared" si="84"/>
        <v>7</v>
      </c>
      <c r="G239" s="8">
        <f t="shared" si="85"/>
        <v>0.13962979814050144</v>
      </c>
      <c r="H239" s="5">
        <f t="shared" si="86"/>
        <v>13.962979814050144</v>
      </c>
      <c r="I239" s="80">
        <f t="shared" si="72"/>
        <v>11.14322531409956</v>
      </c>
      <c r="J239" s="80">
        <f t="shared" si="87"/>
        <v>0.79805496122588193</v>
      </c>
      <c r="K239" s="81">
        <f t="shared" si="88"/>
        <v>0.31031421016923827</v>
      </c>
      <c r="L239" s="5">
        <f t="shared" si="73"/>
        <v>0.35</v>
      </c>
      <c r="M239" s="80">
        <f t="shared" si="70"/>
        <v>-3.9685789830761709E-2</v>
      </c>
      <c r="N239" s="80">
        <f t="shared" si="74"/>
        <v>0.19331042421089961</v>
      </c>
      <c r="O239" s="6">
        <f t="shared" si="75"/>
        <v>0</v>
      </c>
      <c r="P239" s="6">
        <f t="shared" si="76"/>
        <v>0</v>
      </c>
      <c r="Q239" s="6">
        <f t="shared" si="77"/>
        <v>0</v>
      </c>
      <c r="R239" s="6">
        <f t="shared" si="78"/>
        <v>0</v>
      </c>
      <c r="S239" s="6">
        <f t="shared" si="79"/>
        <v>0.33366666666666667</v>
      </c>
      <c r="T239" s="83">
        <f t="shared" si="80"/>
        <v>-2.3352456497428398E-2</v>
      </c>
      <c r="W239" s="80"/>
      <c r="X239" s="81">
        <f t="shared" si="71"/>
        <v>0.3683104242108996</v>
      </c>
      <c r="Y239">
        <f t="shared" si="81"/>
        <v>0.64367910969080677</v>
      </c>
      <c r="Z239" s="81">
        <f t="shared" si="89"/>
        <v>40.394228040143275</v>
      </c>
    </row>
    <row r="240" spans="1:26" hidden="1" x14ac:dyDescent="0.35">
      <c r="A240" s="36">
        <v>0.4</v>
      </c>
      <c r="B240" s="8">
        <v>7.0000000000000007E-2</v>
      </c>
      <c r="C240" s="5">
        <f t="shared" si="82"/>
        <v>7.0000000000000009</v>
      </c>
      <c r="D240" s="81">
        <v>100</v>
      </c>
      <c r="E240" s="5">
        <f t="shared" si="83"/>
        <v>107</v>
      </c>
      <c r="F240" s="5">
        <f t="shared" si="84"/>
        <v>7</v>
      </c>
      <c r="G240" s="8">
        <f t="shared" si="85"/>
        <v>0.1595769121605731</v>
      </c>
      <c r="H240" s="5">
        <f t="shared" si="86"/>
        <v>15.957691216057309</v>
      </c>
      <c r="I240" s="80">
        <f t="shared" si="72"/>
        <v>13.137689912382271</v>
      </c>
      <c r="J240" s="80">
        <f t="shared" si="87"/>
        <v>0.82328262494279669</v>
      </c>
      <c r="K240" s="81">
        <f t="shared" si="88"/>
        <v>0.35997910854682735</v>
      </c>
      <c r="L240" s="5">
        <f t="shared" si="73"/>
        <v>0.4</v>
      </c>
      <c r="M240" s="80">
        <f t="shared" si="70"/>
        <v>-4.0020891453172669E-2</v>
      </c>
      <c r="N240" s="80">
        <f t="shared" si="74"/>
        <v>0.16914662118453716</v>
      </c>
      <c r="O240" s="6">
        <f t="shared" si="75"/>
        <v>0</v>
      </c>
      <c r="P240" s="6">
        <f t="shared" si="76"/>
        <v>0</v>
      </c>
      <c r="Q240" s="6">
        <f t="shared" si="77"/>
        <v>0</v>
      </c>
      <c r="R240" s="6">
        <f t="shared" si="78"/>
        <v>0</v>
      </c>
      <c r="S240" s="6">
        <f t="shared" si="79"/>
        <v>0.37866666666666671</v>
      </c>
      <c r="T240" s="83">
        <f t="shared" si="80"/>
        <v>-1.8687558119839354E-2</v>
      </c>
      <c r="W240" s="80"/>
      <c r="X240" s="81">
        <f t="shared" si="71"/>
        <v>0.36914662118453717</v>
      </c>
      <c r="Y240">
        <f t="shared" si="81"/>
        <v>0.64399077979798292</v>
      </c>
      <c r="Z240" s="81">
        <f t="shared" si="89"/>
        <v>40.394228040143275</v>
      </c>
    </row>
    <row r="241" spans="1:26" hidden="1" x14ac:dyDescent="0.35">
      <c r="A241" s="36">
        <v>0.5</v>
      </c>
      <c r="B241" s="8">
        <v>7.0000000000000007E-2</v>
      </c>
      <c r="C241" s="5">
        <f t="shared" si="82"/>
        <v>7.0000000000000009</v>
      </c>
      <c r="D241" s="81">
        <v>100</v>
      </c>
      <c r="E241" s="5">
        <f t="shared" si="83"/>
        <v>107</v>
      </c>
      <c r="F241" s="5">
        <f t="shared" si="84"/>
        <v>7</v>
      </c>
      <c r="G241" s="8">
        <f t="shared" si="85"/>
        <v>0.19947114020071635</v>
      </c>
      <c r="H241" s="5">
        <f t="shared" si="86"/>
        <v>19.947114020071634</v>
      </c>
      <c r="I241" s="80">
        <f t="shared" si="72"/>
        <v>17.115043164454939</v>
      </c>
      <c r="J241" s="80">
        <f t="shared" si="87"/>
        <v>0.8580210223510556</v>
      </c>
      <c r="K241" s="81">
        <f t="shared" si="88"/>
        <v>0.45713784700258131</v>
      </c>
      <c r="L241" s="5">
        <f t="shared" si="73"/>
        <v>0.5</v>
      </c>
      <c r="M241" s="80">
        <f t="shared" si="70"/>
        <v>-4.286215299741869E-2</v>
      </c>
      <c r="N241" s="80">
        <f t="shared" si="74"/>
        <v>0.13531729694762973</v>
      </c>
      <c r="O241" s="6">
        <f t="shared" si="75"/>
        <v>0</v>
      </c>
      <c r="P241" s="6">
        <f t="shared" si="76"/>
        <v>0</v>
      </c>
      <c r="Q241" s="6">
        <f t="shared" si="77"/>
        <v>0</v>
      </c>
      <c r="R241" s="6">
        <f t="shared" si="78"/>
        <v>0</v>
      </c>
      <c r="S241" s="6">
        <f t="shared" si="79"/>
        <v>0.46666666666666667</v>
      </c>
      <c r="T241" s="83">
        <f t="shared" si="80"/>
        <v>-9.528819664085364E-3</v>
      </c>
      <c r="W241" s="80"/>
      <c r="X241" s="81">
        <f t="shared" si="71"/>
        <v>0.38531729694762973</v>
      </c>
      <c r="Y241">
        <f t="shared" si="81"/>
        <v>0.64999882603447767</v>
      </c>
      <c r="Z241" s="81">
        <f t="shared" si="89"/>
        <v>40.394228040143275</v>
      </c>
    </row>
    <row r="242" spans="1:26" hidden="1" x14ac:dyDescent="0.35">
      <c r="A242" s="36">
        <v>0.6</v>
      </c>
      <c r="B242" s="8">
        <v>7.0000000000000007E-2</v>
      </c>
      <c r="C242" s="5">
        <f t="shared" si="82"/>
        <v>7.0000000000000009</v>
      </c>
      <c r="D242" s="81">
        <v>100</v>
      </c>
      <c r="E242" s="5">
        <f t="shared" si="83"/>
        <v>107</v>
      </c>
      <c r="F242" s="5">
        <f t="shared" si="84"/>
        <v>7</v>
      </c>
      <c r="G242" s="8">
        <f t="shared" si="85"/>
        <v>0.23936536824085961</v>
      </c>
      <c r="H242" s="5">
        <f t="shared" si="86"/>
        <v>23.936536824085959</v>
      </c>
      <c r="I242" s="80">
        <f t="shared" si="72"/>
        <v>21.058015170468245</v>
      </c>
      <c r="J242" s="80">
        <f t="shared" si="87"/>
        <v>0.87974360389840423</v>
      </c>
      <c r="K242" s="81">
        <f t="shared" si="88"/>
        <v>0.54634243065038857</v>
      </c>
      <c r="L242" s="5">
        <f t="shared" si="73"/>
        <v>0.6</v>
      </c>
      <c r="M242" s="80">
        <f t="shared" si="70"/>
        <v>-5.3657569349611411E-2</v>
      </c>
      <c r="N242" s="80">
        <f t="shared" si="74"/>
        <v>0.11276441412302478</v>
      </c>
      <c r="O242" s="6">
        <f t="shared" si="75"/>
        <v>0</v>
      </c>
      <c r="P242" s="6">
        <f t="shared" si="76"/>
        <v>0</v>
      </c>
      <c r="Q242" s="6">
        <f t="shared" si="77"/>
        <v>0</v>
      </c>
      <c r="R242" s="6">
        <f t="shared" si="78"/>
        <v>0</v>
      </c>
      <c r="S242" s="6">
        <f t="shared" si="79"/>
        <v>0.55200000000000005</v>
      </c>
      <c r="T242" s="83">
        <f t="shared" si="80"/>
        <v>-5.6575693496114798E-3</v>
      </c>
      <c r="W242" s="80"/>
      <c r="X242" s="81">
        <f t="shared" si="71"/>
        <v>0.41276441412302478</v>
      </c>
      <c r="Y242">
        <f t="shared" si="81"/>
        <v>0.66011038695936952</v>
      </c>
      <c r="Z242" s="81">
        <f t="shared" si="89"/>
        <v>40.394228040143275</v>
      </c>
    </row>
    <row r="243" spans="1:26" hidden="1" x14ac:dyDescent="0.35">
      <c r="A243" s="36">
        <v>0.01</v>
      </c>
      <c r="B243" s="8">
        <v>0.08</v>
      </c>
      <c r="C243" s="5">
        <f t="shared" si="82"/>
        <v>8</v>
      </c>
      <c r="D243" s="81">
        <v>100</v>
      </c>
      <c r="E243" s="5">
        <f t="shared" si="83"/>
        <v>108</v>
      </c>
      <c r="F243" s="5">
        <f t="shared" si="84"/>
        <v>8</v>
      </c>
      <c r="G243" s="8">
        <f t="shared" si="85"/>
        <v>3.9894228040143268E-3</v>
      </c>
      <c r="H243" s="5">
        <f t="shared" si="86"/>
        <v>0.39894228040143265</v>
      </c>
      <c r="I243" s="80">
        <f t="shared" si="72"/>
        <v>1.4210854715202004E-14</v>
      </c>
      <c r="J243" s="80">
        <f t="shared" si="87"/>
        <v>3.5621330235798619E-14</v>
      </c>
      <c r="K243" s="81">
        <f t="shared" si="88"/>
        <v>2.5834926892197877E-3</v>
      </c>
      <c r="L243" s="5">
        <f t="shared" si="73"/>
        <v>0.01</v>
      </c>
      <c r="M243" s="80">
        <f t="shared" si="70"/>
        <v>-7.4165073107802125E-3</v>
      </c>
      <c r="N243" s="80">
        <f t="shared" si="74"/>
        <v>7.6961041136128392</v>
      </c>
      <c r="O243" s="6">
        <f t="shared" si="75"/>
        <v>0</v>
      </c>
      <c r="P243" s="6">
        <f t="shared" si="76"/>
        <v>0</v>
      </c>
      <c r="Q243" s="6">
        <f t="shared" si="77"/>
        <v>0</v>
      </c>
      <c r="R243" s="6">
        <f t="shared" si="78"/>
        <v>0</v>
      </c>
      <c r="S243" s="6">
        <f t="shared" si="79"/>
        <v>9.9882352941176467E-3</v>
      </c>
      <c r="T243" s="83">
        <f t="shared" si="80"/>
        <v>-7.404742604897859E-3</v>
      </c>
      <c r="W243" s="80"/>
      <c r="X243" s="81">
        <f t="shared" si="71"/>
        <v>7.7011041136128391</v>
      </c>
      <c r="Y243">
        <f t="shared" si="81"/>
        <v>0.99999999999999323</v>
      </c>
      <c r="Z243" s="81">
        <f t="shared" si="89"/>
        <v>40.394228040143275</v>
      </c>
    </row>
    <row r="244" spans="1:26" hidden="1" x14ac:dyDescent="0.35">
      <c r="A244" s="36">
        <v>0.02</v>
      </c>
      <c r="B244" s="8">
        <v>0.08</v>
      </c>
      <c r="C244" s="5">
        <f t="shared" si="82"/>
        <v>8</v>
      </c>
      <c r="D244" s="81">
        <v>100</v>
      </c>
      <c r="E244" s="5">
        <f t="shared" si="83"/>
        <v>108</v>
      </c>
      <c r="F244" s="5">
        <f t="shared" si="84"/>
        <v>8</v>
      </c>
      <c r="G244" s="8">
        <f t="shared" si="85"/>
        <v>7.9788456080286535E-3</v>
      </c>
      <c r="H244" s="5">
        <f t="shared" si="86"/>
        <v>0.79788456080286529</v>
      </c>
      <c r="I244" s="80">
        <f t="shared" si="72"/>
        <v>2.8817117808443982E-5</v>
      </c>
      <c r="J244" s="80">
        <f t="shared" si="87"/>
        <v>3.6116901146009109E-5</v>
      </c>
      <c r="K244" s="81">
        <f t="shared" si="88"/>
        <v>7.8210927945245607E-3</v>
      </c>
      <c r="L244" s="5">
        <f t="shared" si="73"/>
        <v>0.02</v>
      </c>
      <c r="M244" s="80">
        <f t="shared" si="70"/>
        <v>-1.217890720547544E-2</v>
      </c>
      <c r="N244" s="80">
        <f t="shared" si="74"/>
        <v>3.8480520568064196</v>
      </c>
      <c r="O244" s="6">
        <f t="shared" si="75"/>
        <v>0</v>
      </c>
      <c r="P244" s="6">
        <f t="shared" si="76"/>
        <v>0</v>
      </c>
      <c r="Q244" s="6">
        <f t="shared" si="77"/>
        <v>0</v>
      </c>
      <c r="R244" s="6">
        <f t="shared" si="78"/>
        <v>0</v>
      </c>
      <c r="S244" s="6">
        <f t="shared" si="79"/>
        <v>1.995294117647059E-2</v>
      </c>
      <c r="T244" s="83">
        <f t="shared" si="80"/>
        <v>-1.2131848381946029E-2</v>
      </c>
      <c r="W244" s="80"/>
      <c r="X244" s="81">
        <f t="shared" si="71"/>
        <v>3.8580520568064194</v>
      </c>
      <c r="Y244">
        <f t="shared" si="81"/>
        <v>0.99994285284592854</v>
      </c>
      <c r="Z244" s="81">
        <f t="shared" si="89"/>
        <v>40.394228040143275</v>
      </c>
    </row>
    <row r="245" spans="1:26" hidden="1" x14ac:dyDescent="0.35">
      <c r="A245" s="36">
        <v>0.05</v>
      </c>
      <c r="B245" s="8">
        <v>0.08</v>
      </c>
      <c r="C245" s="5">
        <f t="shared" si="82"/>
        <v>8</v>
      </c>
      <c r="D245" s="81">
        <v>100</v>
      </c>
      <c r="E245" s="5">
        <f t="shared" si="83"/>
        <v>108</v>
      </c>
      <c r="F245" s="5">
        <f t="shared" si="84"/>
        <v>8</v>
      </c>
      <c r="G245" s="8">
        <f t="shared" si="85"/>
        <v>1.9947114020071637E-2</v>
      </c>
      <c r="H245" s="5">
        <f t="shared" si="86"/>
        <v>1.9947114020071637</v>
      </c>
      <c r="I245" s="80">
        <f t="shared" si="72"/>
        <v>0.13914329532745739</v>
      </c>
      <c r="J245" s="80">
        <f t="shared" si="87"/>
        <v>6.975610365862725E-2</v>
      </c>
      <c r="K245" s="81">
        <f t="shared" si="88"/>
        <v>3.0044123312590446E-2</v>
      </c>
      <c r="L245" s="5">
        <f t="shared" si="73"/>
        <v>0.05</v>
      </c>
      <c r="M245" s="80">
        <f t="shared" si="70"/>
        <v>-1.9955876687409557E-2</v>
      </c>
      <c r="N245" s="80">
        <f t="shared" si="74"/>
        <v>1.5392208227225679</v>
      </c>
      <c r="O245" s="6">
        <f t="shared" si="75"/>
        <v>0</v>
      </c>
      <c r="P245" s="6">
        <f t="shared" si="76"/>
        <v>0</v>
      </c>
      <c r="Q245" s="6">
        <f t="shared" si="77"/>
        <v>0</v>
      </c>
      <c r="R245" s="6">
        <f t="shared" si="78"/>
        <v>0</v>
      </c>
      <c r="S245" s="6">
        <f t="shared" si="79"/>
        <v>4.9705882352941176E-2</v>
      </c>
      <c r="T245" s="83">
        <f t="shared" si="80"/>
        <v>-1.9661759040350731E-2</v>
      </c>
      <c r="W245" s="80"/>
      <c r="X245" s="81">
        <f t="shared" si="71"/>
        <v>1.5642208227225678</v>
      </c>
      <c r="Y245">
        <f t="shared" si="81"/>
        <v>0.94111714061522944</v>
      </c>
      <c r="Z245" s="81">
        <f t="shared" si="89"/>
        <v>40.394228040143275</v>
      </c>
    </row>
    <row r="246" spans="1:26" hidden="1" x14ac:dyDescent="0.35">
      <c r="A246" s="36">
        <v>0.08</v>
      </c>
      <c r="B246" s="8">
        <v>0.08</v>
      </c>
      <c r="C246" s="5">
        <f t="shared" si="82"/>
        <v>8</v>
      </c>
      <c r="D246" s="81">
        <v>100</v>
      </c>
      <c r="E246" s="5">
        <f t="shared" si="83"/>
        <v>108</v>
      </c>
      <c r="F246" s="5">
        <f t="shared" si="84"/>
        <v>8</v>
      </c>
      <c r="G246" s="8">
        <f t="shared" si="85"/>
        <v>3.1915382432114614E-2</v>
      </c>
      <c r="H246" s="5">
        <f t="shared" si="86"/>
        <v>3.1915382432114612</v>
      </c>
      <c r="I246" s="80">
        <f t="shared" si="72"/>
        <v>0.74387476961712196</v>
      </c>
      <c r="J246" s="80">
        <f t="shared" si="87"/>
        <v>0.23307719128836243</v>
      </c>
      <c r="K246" s="81">
        <f t="shared" si="88"/>
        <v>5.4930507897893215E-2</v>
      </c>
      <c r="L246" s="5">
        <f t="shared" si="73"/>
        <v>0.08</v>
      </c>
      <c r="M246" s="80">
        <f t="shared" si="70"/>
        <v>-2.5069492102106787E-2</v>
      </c>
      <c r="N246" s="80">
        <f t="shared" si="74"/>
        <v>0.9620130142016049</v>
      </c>
      <c r="O246" s="6">
        <f t="shared" si="75"/>
        <v>0</v>
      </c>
      <c r="P246" s="6">
        <f t="shared" si="76"/>
        <v>0</v>
      </c>
      <c r="Q246" s="6">
        <f t="shared" si="77"/>
        <v>0</v>
      </c>
      <c r="R246" s="6">
        <f t="shared" si="78"/>
        <v>0</v>
      </c>
      <c r="S246" s="6">
        <f t="shared" si="79"/>
        <v>7.9247058823529407E-2</v>
      </c>
      <c r="T246" s="83">
        <f t="shared" si="80"/>
        <v>-2.4316550925636192E-2</v>
      </c>
      <c r="W246" s="80"/>
      <c r="X246" s="81">
        <f t="shared" si="71"/>
        <v>1.0020130142016048</v>
      </c>
      <c r="Y246">
        <f t="shared" si="81"/>
        <v>0.84183134631365175</v>
      </c>
      <c r="Z246" s="81">
        <f t="shared" si="89"/>
        <v>40.394228040143275</v>
      </c>
    </row>
    <row r="247" spans="1:26" hidden="1" x14ac:dyDescent="0.35">
      <c r="A247" s="36">
        <v>0.1</v>
      </c>
      <c r="B247" s="8">
        <v>0.08</v>
      </c>
      <c r="C247" s="5">
        <f t="shared" si="82"/>
        <v>8</v>
      </c>
      <c r="D247" s="81">
        <v>100</v>
      </c>
      <c r="E247" s="5">
        <f t="shared" si="83"/>
        <v>108</v>
      </c>
      <c r="F247" s="5">
        <f t="shared" si="84"/>
        <v>8</v>
      </c>
      <c r="G247" s="8">
        <f t="shared" si="85"/>
        <v>3.9894228040143274E-2</v>
      </c>
      <c r="H247" s="5">
        <f t="shared" si="86"/>
        <v>3.9894228040143274</v>
      </c>
      <c r="I247" s="80">
        <f t="shared" si="72"/>
        <v>1.3165802243033795</v>
      </c>
      <c r="J247" s="80">
        <f t="shared" si="87"/>
        <v>0.33001772160588755</v>
      </c>
      <c r="K247" s="81">
        <f t="shared" si="88"/>
        <v>7.2162507678677781E-2</v>
      </c>
      <c r="L247" s="5">
        <f t="shared" si="73"/>
        <v>0.1</v>
      </c>
      <c r="M247" s="80">
        <f t="shared" si="70"/>
        <v>-2.7837492321322224E-2</v>
      </c>
      <c r="N247" s="80">
        <f t="shared" si="74"/>
        <v>0.76961041136128394</v>
      </c>
      <c r="O247" s="6">
        <f t="shared" si="75"/>
        <v>0</v>
      </c>
      <c r="P247" s="6">
        <f t="shared" si="76"/>
        <v>0</v>
      </c>
      <c r="Q247" s="6">
        <f t="shared" si="77"/>
        <v>0</v>
      </c>
      <c r="R247" s="6">
        <f t="shared" si="78"/>
        <v>0</v>
      </c>
      <c r="S247" s="6">
        <f t="shared" si="79"/>
        <v>9.8823529411764713E-2</v>
      </c>
      <c r="T247" s="83">
        <f t="shared" si="80"/>
        <v>-2.6661021733086931E-2</v>
      </c>
      <c r="W247" s="80"/>
      <c r="X247" s="81">
        <f t="shared" si="71"/>
        <v>0.81961041136128399</v>
      </c>
      <c r="Y247">
        <f t="shared" si="81"/>
        <v>0.79378088175054473</v>
      </c>
      <c r="Z247" s="81">
        <f t="shared" si="89"/>
        <v>40.394228040143275</v>
      </c>
    </row>
    <row r="248" spans="1:26" hidden="1" x14ac:dyDescent="0.35">
      <c r="A248" s="36">
        <v>0.12</v>
      </c>
      <c r="B248" s="8">
        <v>0.08</v>
      </c>
      <c r="C248" s="5">
        <f t="shared" si="82"/>
        <v>8</v>
      </c>
      <c r="D248" s="81">
        <v>100</v>
      </c>
      <c r="E248" s="5">
        <f t="shared" si="83"/>
        <v>108</v>
      </c>
      <c r="F248" s="5">
        <f t="shared" si="84"/>
        <v>8</v>
      </c>
      <c r="G248" s="8">
        <f t="shared" si="85"/>
        <v>4.7873073648171921E-2</v>
      </c>
      <c r="H248" s="5">
        <f t="shared" si="86"/>
        <v>4.7873073648171918</v>
      </c>
      <c r="I248" s="80">
        <f t="shared" si="72"/>
        <v>1.9636600925594649</v>
      </c>
      <c r="J248" s="80">
        <f t="shared" si="87"/>
        <v>0.41018049248117355</v>
      </c>
      <c r="K248" s="81">
        <f t="shared" si="88"/>
        <v>8.977083844242284E-2</v>
      </c>
      <c r="L248" s="5">
        <f t="shared" si="73"/>
        <v>0.12</v>
      </c>
      <c r="M248" s="80">
        <f t="shared" si="70"/>
        <v>-3.0229161557577156E-2</v>
      </c>
      <c r="N248" s="80">
        <f t="shared" si="74"/>
        <v>0.64134200946773667</v>
      </c>
      <c r="O248" s="6">
        <f t="shared" si="75"/>
        <v>0</v>
      </c>
      <c r="P248" s="6">
        <f t="shared" si="76"/>
        <v>0</v>
      </c>
      <c r="Q248" s="6">
        <f t="shared" si="77"/>
        <v>0</v>
      </c>
      <c r="R248" s="6">
        <f t="shared" si="78"/>
        <v>0</v>
      </c>
      <c r="S248" s="6">
        <f t="shared" si="79"/>
        <v>0.11830588235294118</v>
      </c>
      <c r="T248" s="83">
        <f t="shared" si="80"/>
        <v>-2.8535043910518337E-2</v>
      </c>
      <c r="W248" s="80"/>
      <c r="X248" s="81">
        <f t="shared" si="71"/>
        <v>0.70134200946773673</v>
      </c>
      <c r="Y248">
        <f t="shared" si="81"/>
        <v>0.75845519861965816</v>
      </c>
      <c r="Z248" s="81">
        <f t="shared" si="89"/>
        <v>40.394228040143275</v>
      </c>
    </row>
    <row r="249" spans="1:26" hidden="1" x14ac:dyDescent="0.35">
      <c r="A249" s="36">
        <v>0.15</v>
      </c>
      <c r="B249" s="8">
        <v>0.08</v>
      </c>
      <c r="C249" s="5">
        <f t="shared" si="82"/>
        <v>8</v>
      </c>
      <c r="D249" s="81">
        <v>100</v>
      </c>
      <c r="E249" s="5">
        <f t="shared" si="83"/>
        <v>108</v>
      </c>
      <c r="F249" s="5">
        <f t="shared" si="84"/>
        <v>8</v>
      </c>
      <c r="G249" s="8">
        <f t="shared" si="85"/>
        <v>5.9841342060214901E-2</v>
      </c>
      <c r="H249" s="5">
        <f t="shared" si="86"/>
        <v>5.9841342060214897</v>
      </c>
      <c r="I249" s="80">
        <f t="shared" si="72"/>
        <v>3.0165703736453366</v>
      </c>
      <c r="J249" s="80">
        <f t="shared" si="87"/>
        <v>0.50409470606624018</v>
      </c>
      <c r="K249" s="81">
        <f t="shared" si="88"/>
        <v>0.11678983522417358</v>
      </c>
      <c r="L249" s="5">
        <f t="shared" si="73"/>
        <v>0.15</v>
      </c>
      <c r="M249" s="80">
        <f t="shared" si="70"/>
        <v>-3.3210164775826417E-2</v>
      </c>
      <c r="N249" s="80">
        <f t="shared" si="74"/>
        <v>0.51307360757418929</v>
      </c>
      <c r="O249" s="6">
        <f t="shared" si="75"/>
        <v>0</v>
      </c>
      <c r="P249" s="6">
        <f t="shared" si="76"/>
        <v>0</v>
      </c>
      <c r="Q249" s="6">
        <f t="shared" si="77"/>
        <v>0</v>
      </c>
      <c r="R249" s="6">
        <f t="shared" si="78"/>
        <v>0</v>
      </c>
      <c r="S249" s="6">
        <f t="shared" si="79"/>
        <v>0.14735294117647058</v>
      </c>
      <c r="T249" s="83">
        <f t="shared" si="80"/>
        <v>-3.0563105952296998E-2</v>
      </c>
      <c r="W249" s="80"/>
      <c r="X249" s="81">
        <f t="shared" si="71"/>
        <v>0.58807360757418925</v>
      </c>
      <c r="Y249">
        <f t="shared" si="81"/>
        <v>0.72175855636691333</v>
      </c>
      <c r="Z249" s="81">
        <f t="shared" si="89"/>
        <v>40.394228040143275</v>
      </c>
    </row>
    <row r="250" spans="1:26" hidden="1" x14ac:dyDescent="0.35">
      <c r="A250" s="36">
        <v>0.2</v>
      </c>
      <c r="B250" s="8">
        <v>0.08</v>
      </c>
      <c r="C250" s="5">
        <f t="shared" si="82"/>
        <v>8</v>
      </c>
      <c r="D250" s="81">
        <v>100</v>
      </c>
      <c r="E250" s="5">
        <f t="shared" si="83"/>
        <v>108</v>
      </c>
      <c r="F250" s="5">
        <f t="shared" si="84"/>
        <v>8</v>
      </c>
      <c r="G250" s="8">
        <f t="shared" si="85"/>
        <v>7.9788456080286549E-2</v>
      </c>
      <c r="H250" s="5">
        <f t="shared" si="86"/>
        <v>7.9788456080286547</v>
      </c>
      <c r="I250" s="80">
        <f t="shared" si="72"/>
        <v>4.8876845838578191</v>
      </c>
      <c r="J250" s="80">
        <f t="shared" si="87"/>
        <v>0.6125804187688032</v>
      </c>
      <c r="K250" s="81">
        <f t="shared" si="88"/>
        <v>0.16324030396007014</v>
      </c>
      <c r="L250" s="5">
        <f t="shared" si="73"/>
        <v>0.2</v>
      </c>
      <c r="M250" s="80">
        <f t="shared" si="70"/>
        <v>-3.6759696039929873E-2</v>
      </c>
      <c r="N250" s="80">
        <f t="shared" si="74"/>
        <v>0.38480520568064197</v>
      </c>
      <c r="O250" s="6">
        <f t="shared" si="75"/>
        <v>0</v>
      </c>
      <c r="P250" s="6">
        <f t="shared" si="76"/>
        <v>0</v>
      </c>
      <c r="Q250" s="6">
        <f t="shared" si="77"/>
        <v>0</v>
      </c>
      <c r="R250" s="6">
        <f t="shared" si="78"/>
        <v>0</v>
      </c>
      <c r="S250" s="6">
        <f t="shared" si="79"/>
        <v>0.19529411764705884</v>
      </c>
      <c r="T250" s="83">
        <f t="shared" si="80"/>
        <v>-3.2053813686988702E-2</v>
      </c>
      <c r="W250" s="80"/>
      <c r="X250" s="81">
        <f t="shared" si="71"/>
        <v>0.484805205680642</v>
      </c>
      <c r="Y250">
        <f t="shared" si="81"/>
        <v>0.68609273514097002</v>
      </c>
      <c r="Z250" s="81">
        <f t="shared" si="89"/>
        <v>40.394228040143275</v>
      </c>
    </row>
    <row r="251" spans="1:26" hidden="1" x14ac:dyDescent="0.35">
      <c r="A251" s="36">
        <v>0.25</v>
      </c>
      <c r="B251" s="8">
        <v>0.08</v>
      </c>
      <c r="C251" s="5">
        <f t="shared" si="82"/>
        <v>8</v>
      </c>
      <c r="D251" s="81">
        <v>100</v>
      </c>
      <c r="E251" s="5">
        <f t="shared" si="83"/>
        <v>108</v>
      </c>
      <c r="F251" s="5">
        <f t="shared" si="84"/>
        <v>8</v>
      </c>
      <c r="G251" s="8">
        <f t="shared" si="85"/>
        <v>9.9735570100358176E-2</v>
      </c>
      <c r="H251" s="5">
        <f t="shared" si="86"/>
        <v>9.9735570100358171</v>
      </c>
      <c r="I251" s="80">
        <f t="shared" si="72"/>
        <v>6.8291034793831287</v>
      </c>
      <c r="J251" s="80">
        <f t="shared" si="87"/>
        <v>0.68472095487210771</v>
      </c>
      <c r="K251" s="81">
        <f t="shared" si="88"/>
        <v>0.21122453022162768</v>
      </c>
      <c r="L251" s="5">
        <f t="shared" si="73"/>
        <v>0.25</v>
      </c>
      <c r="M251" s="80">
        <f t="shared" si="70"/>
        <v>-3.8775469778372318E-2</v>
      </c>
      <c r="N251" s="80">
        <f t="shared" si="74"/>
        <v>0.30784416454451358</v>
      </c>
      <c r="O251" s="6">
        <f t="shared" si="75"/>
        <v>0</v>
      </c>
      <c r="P251" s="6">
        <f t="shared" si="76"/>
        <v>0</v>
      </c>
      <c r="Q251" s="6">
        <f t="shared" si="77"/>
        <v>0</v>
      </c>
      <c r="R251" s="6">
        <f t="shared" si="78"/>
        <v>0</v>
      </c>
      <c r="S251" s="6">
        <f t="shared" si="79"/>
        <v>0.24264705882352941</v>
      </c>
      <c r="T251" s="83">
        <f t="shared" si="80"/>
        <v>-3.1422528601901728E-2</v>
      </c>
      <c r="W251" s="80"/>
      <c r="X251" s="81">
        <f t="shared" si="71"/>
        <v>0.43284416454451358</v>
      </c>
      <c r="Y251">
        <f t="shared" si="81"/>
        <v>0.6674360070271671</v>
      </c>
      <c r="Z251" s="81">
        <f t="shared" si="89"/>
        <v>40.394228040143275</v>
      </c>
    </row>
    <row r="252" spans="1:26" hidden="1" x14ac:dyDescent="0.35">
      <c r="A252" s="36">
        <v>0.3</v>
      </c>
      <c r="B252" s="8">
        <v>0.08</v>
      </c>
      <c r="C252" s="5">
        <f t="shared" si="82"/>
        <v>8</v>
      </c>
      <c r="D252" s="81">
        <v>100</v>
      </c>
      <c r="E252" s="5">
        <f t="shared" si="83"/>
        <v>108</v>
      </c>
      <c r="F252" s="5">
        <f t="shared" si="84"/>
        <v>8</v>
      </c>
      <c r="G252" s="8">
        <f t="shared" si="85"/>
        <v>0.1196826841204298</v>
      </c>
      <c r="H252" s="5">
        <f t="shared" si="86"/>
        <v>11.968268412042979</v>
      </c>
      <c r="I252" s="80">
        <f t="shared" si="72"/>
        <v>8.8030189018117113</v>
      </c>
      <c r="J252" s="80">
        <f t="shared" si="87"/>
        <v>0.73552986937974585</v>
      </c>
      <c r="K252" s="81">
        <f t="shared" si="88"/>
        <v>0.26044707862789596</v>
      </c>
      <c r="L252" s="5">
        <f t="shared" si="73"/>
        <v>0.3</v>
      </c>
      <c r="M252" s="80">
        <f t="shared" si="70"/>
        <v>-3.9552921372104033E-2</v>
      </c>
      <c r="N252" s="80">
        <f t="shared" si="74"/>
        <v>0.25653680378709465</v>
      </c>
      <c r="O252" s="6">
        <f t="shared" si="75"/>
        <v>0</v>
      </c>
      <c r="P252" s="6">
        <f t="shared" si="76"/>
        <v>0</v>
      </c>
      <c r="Q252" s="6">
        <f t="shared" si="77"/>
        <v>0</v>
      </c>
      <c r="R252" s="6">
        <f t="shared" si="78"/>
        <v>0</v>
      </c>
      <c r="S252" s="6">
        <f t="shared" si="79"/>
        <v>0.28941176470588237</v>
      </c>
      <c r="T252" s="83">
        <f t="shared" si="80"/>
        <v>-2.8964686077986412E-2</v>
      </c>
      <c r="W252" s="80"/>
      <c r="X252" s="81">
        <f t="shared" si="71"/>
        <v>0.40653680378709467</v>
      </c>
      <c r="Y252">
        <f t="shared" si="81"/>
        <v>0.65782588966692912</v>
      </c>
      <c r="Z252" s="81">
        <f t="shared" si="89"/>
        <v>40.394228040143275</v>
      </c>
    </row>
    <row r="253" spans="1:26" hidden="1" x14ac:dyDescent="0.35">
      <c r="A253" s="36">
        <v>0.35</v>
      </c>
      <c r="B253" s="8">
        <v>0.08</v>
      </c>
      <c r="C253" s="5">
        <f t="shared" si="82"/>
        <v>8</v>
      </c>
      <c r="D253" s="81">
        <v>100</v>
      </c>
      <c r="E253" s="5">
        <f t="shared" si="83"/>
        <v>108</v>
      </c>
      <c r="F253" s="5">
        <f t="shared" si="84"/>
        <v>8</v>
      </c>
      <c r="G253" s="8">
        <f t="shared" si="85"/>
        <v>0.13962979814050144</v>
      </c>
      <c r="H253" s="5">
        <f t="shared" si="86"/>
        <v>13.962979814050144</v>
      </c>
      <c r="I253" s="80">
        <f t="shared" si="72"/>
        <v>10.791849583679763</v>
      </c>
      <c r="J253" s="80">
        <f t="shared" si="87"/>
        <v>0.77289015148618534</v>
      </c>
      <c r="K253" s="81">
        <f t="shared" si="88"/>
        <v>0.31053688860976836</v>
      </c>
      <c r="L253" s="5">
        <f t="shared" si="73"/>
        <v>0.35</v>
      </c>
      <c r="M253" s="80">
        <f t="shared" si="70"/>
        <v>-3.946311139023162E-2</v>
      </c>
      <c r="N253" s="80">
        <f t="shared" si="74"/>
        <v>0.21988868896036687</v>
      </c>
      <c r="O253" s="6">
        <f t="shared" si="75"/>
        <v>0</v>
      </c>
      <c r="P253" s="6">
        <f t="shared" si="76"/>
        <v>0</v>
      </c>
      <c r="Q253" s="6">
        <f t="shared" si="77"/>
        <v>0</v>
      </c>
      <c r="R253" s="6">
        <f t="shared" si="78"/>
        <v>0</v>
      </c>
      <c r="S253" s="6">
        <f t="shared" si="79"/>
        <v>0.33558823529411763</v>
      </c>
      <c r="T253" s="83">
        <f t="shared" si="80"/>
        <v>-2.5051346684349274E-2</v>
      </c>
      <c r="W253" s="80"/>
      <c r="X253" s="81">
        <f t="shared" si="71"/>
        <v>0.39488868896036688</v>
      </c>
      <c r="Y253">
        <f t="shared" si="81"/>
        <v>0.65353748102495224</v>
      </c>
      <c r="Z253" s="81">
        <f t="shared" si="89"/>
        <v>40.394228040143275</v>
      </c>
    </row>
    <row r="254" spans="1:26" hidden="1" x14ac:dyDescent="0.35">
      <c r="A254" s="36">
        <v>0.4</v>
      </c>
      <c r="B254" s="8">
        <v>0.08</v>
      </c>
      <c r="C254" s="5">
        <f t="shared" si="82"/>
        <v>8</v>
      </c>
      <c r="D254" s="81">
        <v>100</v>
      </c>
      <c r="E254" s="5">
        <f t="shared" si="83"/>
        <v>108</v>
      </c>
      <c r="F254" s="5">
        <f t="shared" si="84"/>
        <v>8</v>
      </c>
      <c r="G254" s="8">
        <f t="shared" si="85"/>
        <v>0.1595769121605731</v>
      </c>
      <c r="H254" s="5">
        <f t="shared" si="86"/>
        <v>15.957691216057309</v>
      </c>
      <c r="I254" s="80">
        <f t="shared" si="72"/>
        <v>12.786008168040048</v>
      </c>
      <c r="J254" s="80">
        <f t="shared" si="87"/>
        <v>0.80124423984180249</v>
      </c>
      <c r="K254" s="81">
        <f t="shared" si="88"/>
        <v>0.36102800239035693</v>
      </c>
      <c r="L254" s="5">
        <f t="shared" si="73"/>
        <v>0.4</v>
      </c>
      <c r="M254" s="80">
        <f t="shared" si="70"/>
        <v>-3.8971997609643094E-2</v>
      </c>
      <c r="N254" s="80">
        <f t="shared" si="74"/>
        <v>0.19240260284032099</v>
      </c>
      <c r="O254" s="6">
        <f t="shared" si="75"/>
        <v>0</v>
      </c>
      <c r="P254" s="6">
        <f t="shared" si="76"/>
        <v>0</v>
      </c>
      <c r="Q254" s="6">
        <f t="shared" si="77"/>
        <v>0</v>
      </c>
      <c r="R254" s="6">
        <f t="shared" si="78"/>
        <v>0</v>
      </c>
      <c r="S254" s="6">
        <f t="shared" si="79"/>
        <v>0.38117647058823534</v>
      </c>
      <c r="T254" s="83">
        <f t="shared" si="80"/>
        <v>-2.0148468197878411E-2</v>
      </c>
      <c r="W254" s="80"/>
      <c r="X254" s="81">
        <f t="shared" si="71"/>
        <v>0.39240260284032102</v>
      </c>
      <c r="Y254">
        <f t="shared" si="81"/>
        <v>0.65261961841653071</v>
      </c>
      <c r="Z254" s="81">
        <f t="shared" si="89"/>
        <v>40.394228040143275</v>
      </c>
    </row>
    <row r="255" spans="1:26" hidden="1" x14ac:dyDescent="0.35">
      <c r="A255" s="36">
        <v>0.5</v>
      </c>
      <c r="B255" s="8">
        <v>0.08</v>
      </c>
      <c r="C255" s="5">
        <f t="shared" si="82"/>
        <v>8</v>
      </c>
      <c r="D255" s="81">
        <v>100</v>
      </c>
      <c r="E255" s="5">
        <f t="shared" si="83"/>
        <v>108</v>
      </c>
      <c r="F255" s="5">
        <f t="shared" si="84"/>
        <v>8</v>
      </c>
      <c r="G255" s="8">
        <f t="shared" si="85"/>
        <v>0.19947114020071635</v>
      </c>
      <c r="H255" s="5">
        <f t="shared" si="86"/>
        <v>19.947114020071634</v>
      </c>
      <c r="I255" s="80">
        <f t="shared" si="72"/>
        <v>16.768484596568236</v>
      </c>
      <c r="J255" s="80">
        <f t="shared" si="87"/>
        <v>0.84064715224944686</v>
      </c>
      <c r="K255" s="81">
        <f t="shared" si="88"/>
        <v>0.46087392276506822</v>
      </c>
      <c r="L255" s="5">
        <f t="shared" si="73"/>
        <v>0.5</v>
      </c>
      <c r="M255" s="80">
        <f t="shared" si="70"/>
        <v>-3.9126077234931778E-2</v>
      </c>
      <c r="N255" s="80">
        <f t="shared" si="74"/>
        <v>0.15392208227225679</v>
      </c>
      <c r="O255" s="6">
        <f t="shared" si="75"/>
        <v>0</v>
      </c>
      <c r="P255" s="6">
        <f t="shared" si="76"/>
        <v>0</v>
      </c>
      <c r="Q255" s="6">
        <f t="shared" si="77"/>
        <v>0</v>
      </c>
      <c r="R255" s="6">
        <f t="shared" si="78"/>
        <v>0</v>
      </c>
      <c r="S255" s="6">
        <f t="shared" si="79"/>
        <v>0.47058823529411764</v>
      </c>
      <c r="T255" s="83">
        <f t="shared" si="80"/>
        <v>-9.7143125290494181E-3</v>
      </c>
      <c r="W255" s="80"/>
      <c r="X255" s="81">
        <f t="shared" si="71"/>
        <v>0.40392208227225679</v>
      </c>
      <c r="Y255">
        <f t="shared" si="81"/>
        <v>0.65686499129255749</v>
      </c>
      <c r="Z255" s="81">
        <f t="shared" si="89"/>
        <v>40.394228040143275</v>
      </c>
    </row>
    <row r="256" spans="1:26" hidden="1" x14ac:dyDescent="0.35">
      <c r="A256" s="36">
        <v>0.6</v>
      </c>
      <c r="B256" s="8">
        <v>0.08</v>
      </c>
      <c r="C256" s="5">
        <f t="shared" si="82"/>
        <v>8</v>
      </c>
      <c r="D256" s="81">
        <v>100</v>
      </c>
      <c r="E256" s="5">
        <f t="shared" si="83"/>
        <v>108</v>
      </c>
      <c r="F256" s="5">
        <f t="shared" si="84"/>
        <v>8</v>
      </c>
      <c r="G256" s="8">
        <f t="shared" si="85"/>
        <v>0.23936536824085961</v>
      </c>
      <c r="H256" s="5">
        <f t="shared" si="86"/>
        <v>23.936536824085959</v>
      </c>
      <c r="I256" s="80">
        <f t="shared" si="72"/>
        <v>20.720963898683721</v>
      </c>
      <c r="J256" s="80">
        <f t="shared" si="87"/>
        <v>0.86566256643414718</v>
      </c>
      <c r="K256" s="81">
        <f t="shared" si="88"/>
        <v>0.55455392141250048</v>
      </c>
      <c r="L256" s="5">
        <f t="shared" si="73"/>
        <v>0.6</v>
      </c>
      <c r="M256" s="80">
        <f t="shared" si="70"/>
        <v>-4.5446078587499494E-2</v>
      </c>
      <c r="N256" s="80">
        <f t="shared" si="74"/>
        <v>0.12826840189354732</v>
      </c>
      <c r="O256" s="6">
        <f t="shared" si="75"/>
        <v>0</v>
      </c>
      <c r="P256" s="6">
        <f t="shared" si="76"/>
        <v>0</v>
      </c>
      <c r="Q256" s="6">
        <f t="shared" si="77"/>
        <v>0</v>
      </c>
      <c r="R256" s="6">
        <f t="shared" si="78"/>
        <v>0</v>
      </c>
      <c r="S256" s="6">
        <f t="shared" si="79"/>
        <v>0.55764705882352938</v>
      </c>
      <c r="T256" s="83">
        <f t="shared" si="80"/>
        <v>-3.0931374110289012E-3</v>
      </c>
      <c r="W256" s="80"/>
      <c r="X256" s="81">
        <f t="shared" si="71"/>
        <v>0.42826840189354731</v>
      </c>
      <c r="Y256">
        <f t="shared" si="81"/>
        <v>0.66577213940689484</v>
      </c>
      <c r="Z256" s="81">
        <f t="shared" si="89"/>
        <v>40.394228040143275</v>
      </c>
    </row>
    <row r="257" spans="1:26" hidden="1" x14ac:dyDescent="0.35">
      <c r="A257" s="36">
        <v>0.01</v>
      </c>
      <c r="B257" s="8">
        <v>0.1</v>
      </c>
      <c r="C257" s="5">
        <f t="shared" si="82"/>
        <v>10</v>
      </c>
      <c r="D257" s="81">
        <v>100</v>
      </c>
      <c r="E257" s="5">
        <f t="shared" si="83"/>
        <v>110</v>
      </c>
      <c r="F257" s="5">
        <f t="shared" si="84"/>
        <v>10</v>
      </c>
      <c r="G257" s="8">
        <f t="shared" si="85"/>
        <v>3.9894228040143268E-3</v>
      </c>
      <c r="H257" s="5">
        <f t="shared" si="86"/>
        <v>0.39894228040143265</v>
      </c>
      <c r="I257" s="80">
        <f t="shared" si="72"/>
        <v>0</v>
      </c>
      <c r="J257" s="80">
        <f t="shared" si="87"/>
        <v>0</v>
      </c>
      <c r="K257" s="81" t="e">
        <f t="shared" si="88"/>
        <v>#NUM!</v>
      </c>
      <c r="L257" s="5">
        <f t="shared" si="73"/>
        <v>0.01</v>
      </c>
      <c r="M257" s="80" t="e">
        <f t="shared" si="70"/>
        <v>#NUM!</v>
      </c>
      <c r="N257" s="80">
        <f t="shared" si="74"/>
        <v>9.5310179804324928</v>
      </c>
      <c r="O257" s="6">
        <f t="shared" si="75"/>
        <v>0</v>
      </c>
      <c r="P257" s="6">
        <f t="shared" si="76"/>
        <v>0</v>
      </c>
      <c r="Q257" s="6">
        <f t="shared" si="77"/>
        <v>0</v>
      </c>
      <c r="R257" s="6">
        <f t="shared" si="78"/>
        <v>0</v>
      </c>
      <c r="S257" s="6">
        <f t="shared" si="79"/>
        <v>9.9904761904761902E-3</v>
      </c>
      <c r="T257" s="83" t="e">
        <f t="shared" si="80"/>
        <v>#NUM!</v>
      </c>
      <c r="W257" s="80"/>
      <c r="X257" s="81">
        <f t="shared" si="71"/>
        <v>9.5360179804324936</v>
      </c>
      <c r="Y257">
        <f t="shared" si="81"/>
        <v>1</v>
      </c>
      <c r="Z257" s="81">
        <f t="shared" si="89"/>
        <v>40.394228040143275</v>
      </c>
    </row>
    <row r="258" spans="1:26" hidden="1" x14ac:dyDescent="0.35">
      <c r="A258" s="36">
        <v>0.02</v>
      </c>
      <c r="B258" s="8">
        <v>0.1</v>
      </c>
      <c r="C258" s="5">
        <f t="shared" si="82"/>
        <v>10</v>
      </c>
      <c r="D258" s="81">
        <v>100</v>
      </c>
      <c r="E258" s="5">
        <f t="shared" si="83"/>
        <v>110</v>
      </c>
      <c r="F258" s="5">
        <f t="shared" si="84"/>
        <v>10</v>
      </c>
      <c r="G258" s="8">
        <f t="shared" si="85"/>
        <v>7.9788456080286535E-3</v>
      </c>
      <c r="H258" s="5">
        <f t="shared" si="86"/>
        <v>0.79788456080286529</v>
      </c>
      <c r="I258" s="80">
        <f t="shared" si="72"/>
        <v>3.8422000159243908E-7</v>
      </c>
      <c r="J258" s="80">
        <f t="shared" si="87"/>
        <v>4.8154835983518798E-7</v>
      </c>
      <c r="K258" s="81">
        <f t="shared" si="88"/>
        <v>6.8746197078739385E-3</v>
      </c>
      <c r="L258" s="5">
        <f t="shared" si="73"/>
        <v>0.02</v>
      </c>
      <c r="M258" s="80">
        <f t="shared" si="70"/>
        <v>-1.3125380292126062E-2</v>
      </c>
      <c r="N258" s="80">
        <f t="shared" si="74"/>
        <v>4.7655089902162464</v>
      </c>
      <c r="O258" s="6">
        <f t="shared" si="75"/>
        <v>0</v>
      </c>
      <c r="P258" s="6">
        <f t="shared" si="76"/>
        <v>0</v>
      </c>
      <c r="Q258" s="6">
        <f t="shared" si="77"/>
        <v>0</v>
      </c>
      <c r="R258" s="6">
        <f t="shared" si="78"/>
        <v>0</v>
      </c>
      <c r="S258" s="6">
        <f t="shared" si="79"/>
        <v>1.9961904761904764E-2</v>
      </c>
      <c r="T258" s="83">
        <f t="shared" si="80"/>
        <v>-1.3087285054030826E-2</v>
      </c>
      <c r="W258" s="80"/>
      <c r="X258" s="81">
        <f t="shared" si="71"/>
        <v>4.7755089902162462</v>
      </c>
      <c r="Y258">
        <f t="shared" si="81"/>
        <v>0.99999910373358825</v>
      </c>
      <c r="Z258" s="81">
        <f t="shared" si="89"/>
        <v>40.394228040143275</v>
      </c>
    </row>
    <row r="259" spans="1:26" hidden="1" x14ac:dyDescent="0.35">
      <c r="A259" s="36">
        <v>0.05</v>
      </c>
      <c r="B259" s="8">
        <v>0.1</v>
      </c>
      <c r="C259" s="5">
        <f t="shared" si="82"/>
        <v>10</v>
      </c>
      <c r="D259" s="81">
        <v>100</v>
      </c>
      <c r="E259" s="5">
        <f t="shared" si="83"/>
        <v>110</v>
      </c>
      <c r="F259" s="5">
        <f t="shared" si="84"/>
        <v>10</v>
      </c>
      <c r="G259" s="8">
        <f t="shared" si="85"/>
        <v>1.9947114020071637E-2</v>
      </c>
      <c r="H259" s="5">
        <f t="shared" si="86"/>
        <v>1.9947114020071637</v>
      </c>
      <c r="I259" s="80">
        <f t="shared" si="72"/>
        <v>5.7028066252158283E-2</v>
      </c>
      <c r="J259" s="80">
        <f t="shared" si="87"/>
        <v>2.8589632663037975E-2</v>
      </c>
      <c r="K259" s="81">
        <f t="shared" si="88"/>
        <v>2.8131681194676551E-2</v>
      </c>
      <c r="L259" s="5">
        <f t="shared" si="73"/>
        <v>0.05</v>
      </c>
      <c r="M259" s="80">
        <f t="shared" si="70"/>
        <v>-2.1868318805323451E-2</v>
      </c>
      <c r="N259" s="80">
        <f t="shared" si="74"/>
        <v>1.9062035960864987</v>
      </c>
      <c r="O259" s="6">
        <f t="shared" si="75"/>
        <v>0</v>
      </c>
      <c r="P259" s="6">
        <f t="shared" si="76"/>
        <v>0</v>
      </c>
      <c r="Q259" s="6">
        <f t="shared" si="77"/>
        <v>0</v>
      </c>
      <c r="R259" s="6">
        <f t="shared" si="78"/>
        <v>0</v>
      </c>
      <c r="S259" s="6">
        <f t="shared" si="79"/>
        <v>4.9761904761904764E-2</v>
      </c>
      <c r="T259" s="83">
        <f t="shared" si="80"/>
        <v>-2.1630223567228213E-2</v>
      </c>
      <c r="W259" s="80"/>
      <c r="X259" s="81">
        <f t="shared" si="71"/>
        <v>1.9312035960864986</v>
      </c>
      <c r="Y259">
        <f t="shared" si="81"/>
        <v>0.9732710602619904</v>
      </c>
      <c r="Z259" s="81">
        <f t="shared" si="89"/>
        <v>40.394228040143275</v>
      </c>
    </row>
    <row r="260" spans="1:26" hidden="1" x14ac:dyDescent="0.35">
      <c r="A260" s="36">
        <v>0.08</v>
      </c>
      <c r="B260" s="8">
        <v>0.1</v>
      </c>
      <c r="C260" s="5">
        <f t="shared" si="82"/>
        <v>10</v>
      </c>
      <c r="D260" s="81">
        <v>100</v>
      </c>
      <c r="E260" s="5">
        <f t="shared" si="83"/>
        <v>110</v>
      </c>
      <c r="F260" s="5">
        <f t="shared" si="84"/>
        <v>10</v>
      </c>
      <c r="G260" s="8">
        <f t="shared" si="85"/>
        <v>3.1915382432114614E-2</v>
      </c>
      <c r="H260" s="5">
        <f t="shared" si="86"/>
        <v>3.1915382432114612</v>
      </c>
      <c r="I260" s="80">
        <f t="shared" si="72"/>
        <v>0.47885435861002179</v>
      </c>
      <c r="J260" s="80">
        <f t="shared" si="87"/>
        <v>0.15003873434027168</v>
      </c>
      <c r="K260" s="81">
        <f t="shared" si="88"/>
        <v>5.2718653812746367E-2</v>
      </c>
      <c r="L260" s="5">
        <f t="shared" si="73"/>
        <v>0.08</v>
      </c>
      <c r="M260" s="80">
        <f t="shared" si="70"/>
        <v>-2.7281346187253634E-2</v>
      </c>
      <c r="N260" s="80">
        <f t="shared" si="74"/>
        <v>1.1913772475540616</v>
      </c>
      <c r="O260" s="6">
        <f t="shared" si="75"/>
        <v>0</v>
      </c>
      <c r="P260" s="6">
        <f t="shared" si="76"/>
        <v>0</v>
      </c>
      <c r="Q260" s="6">
        <f t="shared" si="77"/>
        <v>0</v>
      </c>
      <c r="R260" s="6">
        <f t="shared" si="78"/>
        <v>0</v>
      </c>
      <c r="S260" s="6">
        <f t="shared" si="79"/>
        <v>7.9390476190476192E-2</v>
      </c>
      <c r="T260" s="83">
        <f t="shared" si="80"/>
        <v>-2.6671822377729824E-2</v>
      </c>
      <c r="W260" s="80"/>
      <c r="X260" s="81">
        <f t="shared" si="71"/>
        <v>1.2313772475540616</v>
      </c>
      <c r="Y260">
        <f t="shared" si="81"/>
        <v>0.89090909872052781</v>
      </c>
      <c r="Z260" s="81">
        <f t="shared" si="89"/>
        <v>40.394228040143275</v>
      </c>
    </row>
    <row r="261" spans="1:26" hidden="1" x14ac:dyDescent="0.35">
      <c r="A261" s="36">
        <v>0.1</v>
      </c>
      <c r="B261" s="8">
        <v>0.1</v>
      </c>
      <c r="C261" s="5">
        <f t="shared" si="82"/>
        <v>10</v>
      </c>
      <c r="D261" s="81">
        <v>100</v>
      </c>
      <c r="E261" s="5">
        <f t="shared" si="83"/>
        <v>110</v>
      </c>
      <c r="F261" s="5">
        <f t="shared" si="84"/>
        <v>10</v>
      </c>
      <c r="G261" s="8">
        <f t="shared" si="85"/>
        <v>3.9894228040143274E-2</v>
      </c>
      <c r="H261" s="5">
        <f t="shared" si="86"/>
        <v>3.9894228040143274</v>
      </c>
      <c r="I261" s="80">
        <f t="shared" si="72"/>
        <v>0.95394739185722699</v>
      </c>
      <c r="J261" s="80">
        <f t="shared" si="87"/>
        <v>0.23911915049398236</v>
      </c>
      <c r="K261" s="81">
        <f t="shared" si="88"/>
        <v>6.9891296699641073E-2</v>
      </c>
      <c r="L261" s="5">
        <f t="shared" si="73"/>
        <v>0.1</v>
      </c>
      <c r="M261" s="80">
        <f t="shared" si="70"/>
        <v>-3.0108703300358933E-2</v>
      </c>
      <c r="N261" s="80">
        <f t="shared" si="74"/>
        <v>0.95310179804324935</v>
      </c>
      <c r="O261" s="6">
        <f t="shared" si="75"/>
        <v>0</v>
      </c>
      <c r="P261" s="6">
        <f t="shared" si="76"/>
        <v>0</v>
      </c>
      <c r="Q261" s="6">
        <f t="shared" si="77"/>
        <v>0</v>
      </c>
      <c r="R261" s="6">
        <f t="shared" si="78"/>
        <v>0</v>
      </c>
      <c r="S261" s="6">
        <f t="shared" si="79"/>
        <v>9.9047619047619051E-2</v>
      </c>
      <c r="T261" s="83">
        <f t="shared" si="80"/>
        <v>-2.9156322347977978E-2</v>
      </c>
      <c r="W261" s="80"/>
      <c r="X261" s="81">
        <f t="shared" si="71"/>
        <v>1.0031017980432493</v>
      </c>
      <c r="Y261">
        <f t="shared" si="81"/>
        <v>0.84209412637179404</v>
      </c>
      <c r="Z261" s="81">
        <f t="shared" si="89"/>
        <v>40.394228040143275</v>
      </c>
    </row>
    <row r="262" spans="1:26" hidden="1" x14ac:dyDescent="0.35">
      <c r="A262" s="36">
        <v>0.12</v>
      </c>
      <c r="B262" s="8">
        <v>0.1</v>
      </c>
      <c r="C262" s="5">
        <f t="shared" si="82"/>
        <v>10</v>
      </c>
      <c r="D262" s="81">
        <v>100</v>
      </c>
      <c r="E262" s="5">
        <f t="shared" si="83"/>
        <v>110</v>
      </c>
      <c r="F262" s="5">
        <f t="shared" si="84"/>
        <v>10</v>
      </c>
      <c r="G262" s="8">
        <f t="shared" si="85"/>
        <v>4.7873073648171921E-2</v>
      </c>
      <c r="H262" s="5">
        <f t="shared" si="86"/>
        <v>4.7873073648171918</v>
      </c>
      <c r="I262" s="80">
        <f t="shared" si="72"/>
        <v>1.5266626036428903</v>
      </c>
      <c r="J262" s="80">
        <f t="shared" si="87"/>
        <v>0.31889797067608744</v>
      </c>
      <c r="K262" s="81">
        <f t="shared" si="88"/>
        <v>8.7497938554176327E-2</v>
      </c>
      <c r="L262" s="5">
        <f t="shared" si="73"/>
        <v>0.12</v>
      </c>
      <c r="M262" s="80">
        <f t="shared" si="70"/>
        <v>-3.2502061445823668E-2</v>
      </c>
      <c r="N262" s="80">
        <f t="shared" si="74"/>
        <v>0.79425149836937448</v>
      </c>
      <c r="O262" s="6">
        <f t="shared" si="75"/>
        <v>0</v>
      </c>
      <c r="P262" s="6">
        <f t="shared" si="76"/>
        <v>0</v>
      </c>
      <c r="Q262" s="6">
        <f t="shared" si="77"/>
        <v>0</v>
      </c>
      <c r="R262" s="6">
        <f t="shared" si="78"/>
        <v>0</v>
      </c>
      <c r="S262" s="6">
        <f t="shared" si="79"/>
        <v>0.11862857142857143</v>
      </c>
      <c r="T262" s="83">
        <f t="shared" si="80"/>
        <v>-3.1130632874395103E-2</v>
      </c>
      <c r="W262" s="80"/>
      <c r="X262" s="81">
        <f t="shared" si="71"/>
        <v>0.85425149836937453</v>
      </c>
      <c r="Y262">
        <f t="shared" si="81"/>
        <v>0.80351717271341205</v>
      </c>
      <c r="Z262" s="81">
        <f t="shared" si="89"/>
        <v>40.394228040143275</v>
      </c>
    </row>
    <row r="263" spans="1:26" hidden="1" x14ac:dyDescent="0.35">
      <c r="A263" s="36">
        <v>0.15</v>
      </c>
      <c r="B263" s="8">
        <v>0.1</v>
      </c>
      <c r="C263" s="5">
        <f t="shared" si="82"/>
        <v>10</v>
      </c>
      <c r="D263" s="81">
        <v>100</v>
      </c>
      <c r="E263" s="5">
        <f t="shared" si="83"/>
        <v>110</v>
      </c>
      <c r="F263" s="5">
        <f t="shared" si="84"/>
        <v>10</v>
      </c>
      <c r="G263" s="8">
        <f t="shared" si="85"/>
        <v>5.9841342060214901E-2</v>
      </c>
      <c r="H263" s="5">
        <f t="shared" si="86"/>
        <v>5.9841342060214897</v>
      </c>
      <c r="I263" s="80">
        <f t="shared" si="72"/>
        <v>2.5002448066930612</v>
      </c>
      <c r="J263" s="80">
        <f t="shared" si="87"/>
        <v>0.41781228839707651</v>
      </c>
      <c r="K263" s="81">
        <f t="shared" si="88"/>
        <v>0.11458389193526154</v>
      </c>
      <c r="L263" s="5">
        <f t="shared" si="73"/>
        <v>0.15</v>
      </c>
      <c r="M263" s="80">
        <f t="shared" si="70"/>
        <v>-3.5416108064738452E-2</v>
      </c>
      <c r="N263" s="80">
        <f t="shared" si="74"/>
        <v>0.6354011986954996</v>
      </c>
      <c r="O263" s="6">
        <f t="shared" si="75"/>
        <v>0</v>
      </c>
      <c r="P263" s="6">
        <f t="shared" si="76"/>
        <v>0</v>
      </c>
      <c r="Q263" s="6">
        <f t="shared" si="77"/>
        <v>0</v>
      </c>
      <c r="R263" s="6">
        <f t="shared" si="78"/>
        <v>0</v>
      </c>
      <c r="S263" s="6">
        <f t="shared" si="79"/>
        <v>0.14785714285714285</v>
      </c>
      <c r="T263" s="83">
        <f t="shared" si="80"/>
        <v>-3.3273250921881312E-2</v>
      </c>
      <c r="W263" s="80"/>
      <c r="X263" s="81">
        <f t="shared" si="71"/>
        <v>0.71040119869549956</v>
      </c>
      <c r="Y263">
        <f t="shared" si="81"/>
        <v>0.76127230997302431</v>
      </c>
      <c r="Z263" s="81">
        <f t="shared" si="89"/>
        <v>40.394228040143275</v>
      </c>
    </row>
    <row r="264" spans="1:26" hidden="1" x14ac:dyDescent="0.35">
      <c r="A264" s="36">
        <v>0.2</v>
      </c>
      <c r="B264" s="8">
        <v>0.1</v>
      </c>
      <c r="C264" s="5">
        <f t="shared" si="82"/>
        <v>10</v>
      </c>
      <c r="D264" s="81">
        <v>100</v>
      </c>
      <c r="E264" s="5">
        <f t="shared" si="83"/>
        <v>110</v>
      </c>
      <c r="F264" s="5">
        <f t="shared" si="84"/>
        <v>10</v>
      </c>
      <c r="G264" s="8">
        <f t="shared" si="85"/>
        <v>7.9788456080286549E-2</v>
      </c>
      <c r="H264" s="5">
        <f t="shared" si="86"/>
        <v>7.9788456080286547</v>
      </c>
      <c r="I264" s="80">
        <f t="shared" si="72"/>
        <v>4.2920109414098846</v>
      </c>
      <c r="J264" s="80">
        <f t="shared" si="87"/>
        <v>0.53792379903818166</v>
      </c>
      <c r="K264" s="81">
        <f t="shared" si="88"/>
        <v>0.16128034236384511</v>
      </c>
      <c r="L264" s="5">
        <f t="shared" si="73"/>
        <v>0.2</v>
      </c>
      <c r="M264" s="80">
        <f t="shared" si="70"/>
        <v>-3.8719657636154897E-2</v>
      </c>
      <c r="N264" s="80">
        <f t="shared" si="74"/>
        <v>0.47655089902162467</v>
      </c>
      <c r="O264" s="6">
        <f t="shared" si="75"/>
        <v>0</v>
      </c>
      <c r="P264" s="6">
        <f t="shared" si="76"/>
        <v>0</v>
      </c>
      <c r="Q264" s="6">
        <f t="shared" si="77"/>
        <v>0</v>
      </c>
      <c r="R264" s="6">
        <f t="shared" si="78"/>
        <v>0</v>
      </c>
      <c r="S264" s="6">
        <f t="shared" si="79"/>
        <v>0.19619047619047619</v>
      </c>
      <c r="T264" s="83">
        <f t="shared" si="80"/>
        <v>-3.4910133826631079E-2</v>
      </c>
      <c r="W264" s="80"/>
      <c r="X264" s="81">
        <f t="shared" si="71"/>
        <v>0.57655089902162471</v>
      </c>
      <c r="Y264">
        <f t="shared" si="81"/>
        <v>0.7178785617145782</v>
      </c>
      <c r="Z264" s="81">
        <f t="shared" si="89"/>
        <v>40.394228040143275</v>
      </c>
    </row>
    <row r="265" spans="1:26" hidden="1" x14ac:dyDescent="0.35">
      <c r="A265" s="36">
        <v>0.25</v>
      </c>
      <c r="B265" s="8">
        <v>0.1</v>
      </c>
      <c r="C265" s="5">
        <f t="shared" si="82"/>
        <v>10</v>
      </c>
      <c r="D265" s="81">
        <v>100</v>
      </c>
      <c r="E265" s="5">
        <f t="shared" si="83"/>
        <v>110</v>
      </c>
      <c r="F265" s="5">
        <f t="shared" si="84"/>
        <v>10</v>
      </c>
      <c r="G265" s="8">
        <f t="shared" si="85"/>
        <v>9.9735570100358176E-2</v>
      </c>
      <c r="H265" s="5">
        <f t="shared" si="86"/>
        <v>9.9735570100358171</v>
      </c>
      <c r="I265" s="80">
        <f t="shared" si="72"/>
        <v>6.1904264137683427</v>
      </c>
      <c r="J265" s="80">
        <f t="shared" si="87"/>
        <v>0.62068391523097255</v>
      </c>
      <c r="K265" s="81">
        <f t="shared" si="88"/>
        <v>0.20967291620236231</v>
      </c>
      <c r="L265" s="5">
        <f t="shared" si="73"/>
        <v>0.25</v>
      </c>
      <c r="M265" s="80">
        <f t="shared" si="70"/>
        <v>-4.0327083797637692E-2</v>
      </c>
      <c r="N265" s="80">
        <f t="shared" si="74"/>
        <v>0.38124071921729974</v>
      </c>
      <c r="O265" s="6">
        <f t="shared" si="75"/>
        <v>0</v>
      </c>
      <c r="P265" s="6">
        <f t="shared" si="76"/>
        <v>0</v>
      </c>
      <c r="Q265" s="6">
        <f t="shared" si="77"/>
        <v>0</v>
      </c>
      <c r="R265" s="6">
        <f t="shared" si="78"/>
        <v>0</v>
      </c>
      <c r="S265" s="6">
        <f t="shared" si="79"/>
        <v>0.24404761904761904</v>
      </c>
      <c r="T265" s="83">
        <f t="shared" si="80"/>
        <v>-3.4374702845256733E-2</v>
      </c>
      <c r="W265" s="80"/>
      <c r="X265" s="81">
        <f t="shared" si="71"/>
        <v>0.50624071921729974</v>
      </c>
      <c r="Y265">
        <f t="shared" si="81"/>
        <v>0.69365616352396298</v>
      </c>
      <c r="Z265" s="81">
        <f t="shared" si="89"/>
        <v>40.394228040143275</v>
      </c>
    </row>
    <row r="266" spans="1:26" hidden="1" x14ac:dyDescent="0.35">
      <c r="A266" s="36">
        <v>0.3</v>
      </c>
      <c r="B266" s="8">
        <v>0.1</v>
      </c>
      <c r="C266" s="5">
        <f t="shared" si="82"/>
        <v>10</v>
      </c>
      <c r="D266" s="81">
        <v>100</v>
      </c>
      <c r="E266" s="5">
        <f t="shared" si="83"/>
        <v>110</v>
      </c>
      <c r="F266" s="5">
        <f t="shared" si="84"/>
        <v>10</v>
      </c>
      <c r="G266" s="8">
        <f t="shared" si="85"/>
        <v>0.1196826841204298</v>
      </c>
      <c r="H266" s="5">
        <f t="shared" si="86"/>
        <v>11.968268412042979</v>
      </c>
      <c r="I266" s="80">
        <f t="shared" si="72"/>
        <v>8.1410120489641997</v>
      </c>
      <c r="J266" s="80">
        <f t="shared" si="87"/>
        <v>0.6802163662015106</v>
      </c>
      <c r="K266" s="81">
        <f t="shared" si="88"/>
        <v>0.25950815441221536</v>
      </c>
      <c r="L266" s="5">
        <f t="shared" si="73"/>
        <v>0.3</v>
      </c>
      <c r="M266" s="80">
        <f t="shared" si="70"/>
        <v>-4.0491845587784625E-2</v>
      </c>
      <c r="N266" s="80">
        <f t="shared" si="74"/>
        <v>0.3177005993477498</v>
      </c>
      <c r="O266" s="6">
        <f t="shared" si="75"/>
        <v>0</v>
      </c>
      <c r="P266" s="6">
        <f t="shared" si="76"/>
        <v>0</v>
      </c>
      <c r="Q266" s="6">
        <f t="shared" si="77"/>
        <v>0</v>
      </c>
      <c r="R266" s="6">
        <f t="shared" si="78"/>
        <v>0</v>
      </c>
      <c r="S266" s="6">
        <f t="shared" si="79"/>
        <v>0.29142857142857143</v>
      </c>
      <c r="T266" s="83">
        <f t="shared" si="80"/>
        <v>-3.1920417016356062E-2</v>
      </c>
      <c r="W266" s="80"/>
      <c r="X266" s="81">
        <f t="shared" si="71"/>
        <v>0.46770059934774977</v>
      </c>
      <c r="Y266">
        <f t="shared" si="81"/>
        <v>0.68000064378284797</v>
      </c>
      <c r="Z266" s="81">
        <f t="shared" si="89"/>
        <v>40.394228040143275</v>
      </c>
    </row>
    <row r="267" spans="1:26" hidden="1" x14ac:dyDescent="0.35">
      <c r="A267" s="36">
        <v>0.35</v>
      </c>
      <c r="B267" s="8">
        <v>0.1</v>
      </c>
      <c r="C267" s="5">
        <f t="shared" si="82"/>
        <v>10</v>
      </c>
      <c r="D267" s="81">
        <v>100</v>
      </c>
      <c r="E267" s="5">
        <f t="shared" si="83"/>
        <v>110</v>
      </c>
      <c r="F267" s="5">
        <f t="shared" si="84"/>
        <v>10</v>
      </c>
      <c r="G267" s="8">
        <f t="shared" si="85"/>
        <v>0.13962979814050144</v>
      </c>
      <c r="H267" s="5">
        <f t="shared" si="86"/>
        <v>13.962979814050144</v>
      </c>
      <c r="I267" s="80">
        <f t="shared" si="72"/>
        <v>10.118192116976665</v>
      </c>
      <c r="J267" s="80">
        <f t="shared" si="87"/>
        <v>0.7246441842446345</v>
      </c>
      <c r="K267" s="81">
        <f t="shared" si="88"/>
        <v>0.31048714583983256</v>
      </c>
      <c r="L267" s="5">
        <f t="shared" si="73"/>
        <v>0.35</v>
      </c>
      <c r="M267" s="80">
        <f t="shared" si="70"/>
        <v>-3.9512854160167421E-2</v>
      </c>
      <c r="N267" s="80">
        <f t="shared" si="74"/>
        <v>0.2723147994409284</v>
      </c>
      <c r="O267" s="6">
        <f t="shared" si="75"/>
        <v>0</v>
      </c>
      <c r="P267" s="6">
        <f t="shared" si="76"/>
        <v>0</v>
      </c>
      <c r="Q267" s="6">
        <f t="shared" si="77"/>
        <v>0</v>
      </c>
      <c r="R267" s="6">
        <f t="shared" si="78"/>
        <v>0</v>
      </c>
      <c r="S267" s="6">
        <f t="shared" si="79"/>
        <v>0.33833333333333332</v>
      </c>
      <c r="T267" s="83">
        <f t="shared" si="80"/>
        <v>-2.7846187493500762E-2</v>
      </c>
      <c r="W267" s="80"/>
      <c r="X267" s="81">
        <f t="shared" si="71"/>
        <v>0.44731479944092839</v>
      </c>
      <c r="Y267">
        <f t="shared" si="81"/>
        <v>0.6726761085503189</v>
      </c>
      <c r="Z267" s="81">
        <f t="shared" si="89"/>
        <v>40.394228040143275</v>
      </c>
    </row>
    <row r="268" spans="1:26" hidden="1" x14ac:dyDescent="0.35">
      <c r="A268" s="36">
        <v>0.4</v>
      </c>
      <c r="B268" s="8">
        <v>0.1</v>
      </c>
      <c r="C268" s="5">
        <f t="shared" si="82"/>
        <v>10</v>
      </c>
      <c r="D268" s="81">
        <v>100</v>
      </c>
      <c r="E268" s="5">
        <f t="shared" si="83"/>
        <v>110</v>
      </c>
      <c r="F268" s="5">
        <f t="shared" si="84"/>
        <v>10</v>
      </c>
      <c r="G268" s="8">
        <f t="shared" si="85"/>
        <v>0.1595769121605731</v>
      </c>
      <c r="H268" s="5">
        <f t="shared" si="86"/>
        <v>15.957691216057309</v>
      </c>
      <c r="I268" s="80">
        <f t="shared" si="72"/>
        <v>12.108139117843997</v>
      </c>
      <c r="J268" s="80">
        <f t="shared" si="87"/>
        <v>0.75876509664883551</v>
      </c>
      <c r="K268" s="81">
        <f t="shared" si="88"/>
        <v>0.36223610366204595</v>
      </c>
      <c r="L268" s="5">
        <f t="shared" si="73"/>
        <v>0.4</v>
      </c>
      <c r="M268" s="80">
        <f t="shared" si="70"/>
        <v>-3.7763896337954073E-2</v>
      </c>
      <c r="N268" s="80">
        <f t="shared" si="74"/>
        <v>0.23827544951081234</v>
      </c>
      <c r="O268" s="6">
        <f t="shared" si="75"/>
        <v>0</v>
      </c>
      <c r="P268" s="6">
        <f t="shared" si="76"/>
        <v>0</v>
      </c>
      <c r="Q268" s="6">
        <f t="shared" si="77"/>
        <v>0</v>
      </c>
      <c r="R268" s="6">
        <f t="shared" si="78"/>
        <v>0</v>
      </c>
      <c r="S268" s="6">
        <f t="shared" si="79"/>
        <v>0.3847619047619048</v>
      </c>
      <c r="T268" s="83">
        <f t="shared" si="80"/>
        <v>-2.2525801099858855E-2</v>
      </c>
      <c r="W268" s="80"/>
      <c r="X268" s="81">
        <f t="shared" si="71"/>
        <v>0.43827544951081232</v>
      </c>
      <c r="Y268">
        <f t="shared" si="81"/>
        <v>0.66940668975704654</v>
      </c>
      <c r="Z268" s="81">
        <f t="shared" si="89"/>
        <v>40.394228040143275</v>
      </c>
    </row>
    <row r="269" spans="1:26" hidden="1" x14ac:dyDescent="0.35">
      <c r="A269" s="36">
        <v>0.5</v>
      </c>
      <c r="B269" s="8">
        <v>0.1</v>
      </c>
      <c r="C269" s="5">
        <f t="shared" si="82"/>
        <v>10</v>
      </c>
      <c r="D269" s="81">
        <v>100</v>
      </c>
      <c r="E269" s="5">
        <f t="shared" si="83"/>
        <v>110</v>
      </c>
      <c r="F269" s="5">
        <f t="shared" si="84"/>
        <v>10</v>
      </c>
      <c r="G269" s="8">
        <f t="shared" si="85"/>
        <v>0.19947114020071635</v>
      </c>
      <c r="H269" s="5">
        <f t="shared" si="86"/>
        <v>19.947114020071634</v>
      </c>
      <c r="I269" s="80">
        <f t="shared" si="72"/>
        <v>16.095681194570233</v>
      </c>
      <c r="J269" s="80">
        <f t="shared" si="87"/>
        <v>0.80691779163512445</v>
      </c>
      <c r="K269" s="81">
        <f t="shared" si="88"/>
        <v>0.46612770029239387</v>
      </c>
      <c r="L269" s="5">
        <f t="shared" si="73"/>
        <v>0.5</v>
      </c>
      <c r="M269" s="80">
        <f t="shared" si="70"/>
        <v>-3.3872299707606135E-2</v>
      </c>
      <c r="N269" s="80">
        <f t="shared" si="74"/>
        <v>0.19062035960864987</v>
      </c>
      <c r="O269" s="6">
        <f t="shared" si="75"/>
        <v>0</v>
      </c>
      <c r="P269" s="6">
        <f t="shared" si="76"/>
        <v>0</v>
      </c>
      <c r="Q269" s="6">
        <f t="shared" si="77"/>
        <v>0</v>
      </c>
      <c r="R269" s="6">
        <f t="shared" si="78"/>
        <v>0</v>
      </c>
      <c r="S269" s="6">
        <f t="shared" si="79"/>
        <v>0.47619047619047616</v>
      </c>
      <c r="T269" s="83">
        <f t="shared" si="80"/>
        <v>-1.0062775898082299E-2</v>
      </c>
      <c r="W269" s="80"/>
      <c r="X269" s="81">
        <f t="shared" si="71"/>
        <v>0.44062035960864987</v>
      </c>
      <c r="Y269">
        <f t="shared" si="81"/>
        <v>0.67025606952116257</v>
      </c>
      <c r="Z269" s="81">
        <f t="shared" si="89"/>
        <v>40.394228040143275</v>
      </c>
    </row>
    <row r="270" spans="1:26" hidden="1" x14ac:dyDescent="0.35">
      <c r="A270" s="36">
        <v>0.6</v>
      </c>
      <c r="B270" s="8">
        <v>0.1</v>
      </c>
      <c r="C270" s="5">
        <f t="shared" si="82"/>
        <v>10</v>
      </c>
      <c r="D270" s="81">
        <v>100</v>
      </c>
      <c r="E270" s="5">
        <f t="shared" si="83"/>
        <v>110</v>
      </c>
      <c r="F270" s="5">
        <f t="shared" si="84"/>
        <v>10</v>
      </c>
      <c r="G270" s="8">
        <f t="shared" si="85"/>
        <v>0.23936536824085961</v>
      </c>
      <c r="H270" s="5">
        <f t="shared" si="86"/>
        <v>23.936536824085959</v>
      </c>
      <c r="I270" s="80">
        <f t="shared" si="72"/>
        <v>20.063624014119043</v>
      </c>
      <c r="J270" s="80">
        <f t="shared" si="87"/>
        <v>0.83820078742260551</v>
      </c>
      <c r="K270" s="81">
        <f t="shared" si="88"/>
        <v>0.56657992909605481</v>
      </c>
      <c r="L270" s="5">
        <f t="shared" si="73"/>
        <v>0.6</v>
      </c>
      <c r="M270" s="80">
        <f t="shared" si="70"/>
        <v>-3.3420070903945165E-2</v>
      </c>
      <c r="N270" s="80">
        <f t="shared" si="74"/>
        <v>0.1588502996738749</v>
      </c>
      <c r="O270" s="6">
        <f t="shared" si="75"/>
        <v>0</v>
      </c>
      <c r="P270" s="6">
        <f t="shared" si="76"/>
        <v>0</v>
      </c>
      <c r="Q270" s="6">
        <f t="shared" si="77"/>
        <v>0</v>
      </c>
      <c r="R270" s="6">
        <f t="shared" si="78"/>
        <v>0</v>
      </c>
      <c r="S270" s="6">
        <f t="shared" si="79"/>
        <v>0.56571428571428573</v>
      </c>
      <c r="T270" s="83">
        <f t="shared" si="80"/>
        <v>8.6564338176908784E-4</v>
      </c>
      <c r="W270" s="80"/>
      <c r="X270" s="81">
        <f t="shared" si="71"/>
        <v>0.45885029967387492</v>
      </c>
      <c r="Y270">
        <f t="shared" si="81"/>
        <v>0.67682916442813934</v>
      </c>
      <c r="Z270" s="81">
        <f t="shared" si="89"/>
        <v>40.394228040143275</v>
      </c>
    </row>
    <row r="271" spans="1:26" hidden="1" x14ac:dyDescent="0.35">
      <c r="A271" s="36">
        <v>0.01</v>
      </c>
      <c r="B271" s="36">
        <v>0.15</v>
      </c>
      <c r="C271" s="5">
        <f t="shared" si="82"/>
        <v>15</v>
      </c>
      <c r="D271" s="81">
        <v>100</v>
      </c>
      <c r="E271" s="5">
        <f t="shared" si="83"/>
        <v>115</v>
      </c>
      <c r="F271" s="5">
        <f t="shared" si="84"/>
        <v>15</v>
      </c>
      <c r="G271" s="8">
        <f t="shared" si="85"/>
        <v>3.9894228040143268E-3</v>
      </c>
      <c r="H271" s="5">
        <f t="shared" si="86"/>
        <v>0.39894228040143265</v>
      </c>
      <c r="I271" s="80">
        <f t="shared" si="72"/>
        <v>0</v>
      </c>
      <c r="J271" s="80">
        <f t="shared" si="87"/>
        <v>0</v>
      </c>
      <c r="K271" s="81" t="e">
        <f t="shared" si="88"/>
        <v>#NUM!</v>
      </c>
      <c r="L271" s="5">
        <f t="shared" si="73"/>
        <v>0.01</v>
      </c>
      <c r="M271" s="80" t="e">
        <f t="shared" si="70"/>
        <v>#NUM!</v>
      </c>
      <c r="N271" s="80">
        <f t="shared" si="74"/>
        <v>13.976194237515863</v>
      </c>
      <c r="O271" s="6">
        <f t="shared" si="75"/>
        <v>0</v>
      </c>
      <c r="P271" s="6">
        <f t="shared" si="76"/>
        <v>0</v>
      </c>
      <c r="Q271" s="6">
        <f t="shared" si="77"/>
        <v>0</v>
      </c>
      <c r="R271" s="6">
        <f t="shared" si="78"/>
        <v>0</v>
      </c>
      <c r="S271" s="6">
        <f t="shared" si="79"/>
        <v>9.9935483870967744E-3</v>
      </c>
      <c r="T271" s="83" t="e">
        <f t="shared" si="80"/>
        <v>#NUM!</v>
      </c>
      <c r="W271" s="80"/>
      <c r="X271" s="81">
        <f t="shared" si="71"/>
        <v>13.981194237515863</v>
      </c>
      <c r="Y271">
        <f t="shared" si="81"/>
        <v>1</v>
      </c>
      <c r="Z271" s="81">
        <f t="shared" si="89"/>
        <v>40.394228040143275</v>
      </c>
    </row>
    <row r="272" spans="1:26" hidden="1" x14ac:dyDescent="0.35">
      <c r="A272" s="36">
        <v>0.02</v>
      </c>
      <c r="B272" s="36">
        <v>0.15</v>
      </c>
      <c r="C272" s="5">
        <f t="shared" si="82"/>
        <v>15</v>
      </c>
      <c r="D272" s="81">
        <v>100</v>
      </c>
      <c r="E272" s="5">
        <f t="shared" si="83"/>
        <v>115</v>
      </c>
      <c r="F272" s="5">
        <f t="shared" si="84"/>
        <v>15</v>
      </c>
      <c r="G272" s="8">
        <f t="shared" si="85"/>
        <v>7.9788456080286535E-3</v>
      </c>
      <c r="H272" s="5">
        <f t="shared" si="86"/>
        <v>0.79788456080286529</v>
      </c>
      <c r="I272" s="80">
        <f t="shared" si="72"/>
        <v>4.1211478674085811E-13</v>
      </c>
      <c r="J272" s="80">
        <f t="shared" si="87"/>
        <v>5.1650928841907993E-13</v>
      </c>
      <c r="K272" s="81">
        <f t="shared" si="88"/>
        <v>5.3019114962936402E-3</v>
      </c>
      <c r="L272" s="5">
        <f t="shared" si="73"/>
        <v>0.02</v>
      </c>
      <c r="M272" s="80">
        <f t="shared" si="70"/>
        <v>-1.4698088503706359E-2</v>
      </c>
      <c r="N272" s="80">
        <f t="shared" si="74"/>
        <v>6.9880971187579313</v>
      </c>
      <c r="O272" s="6">
        <f t="shared" si="75"/>
        <v>0</v>
      </c>
      <c r="P272" s="6">
        <f t="shared" si="76"/>
        <v>0</v>
      </c>
      <c r="Q272" s="6">
        <f t="shared" si="77"/>
        <v>0</v>
      </c>
      <c r="R272" s="6">
        <f t="shared" si="78"/>
        <v>0</v>
      </c>
      <c r="S272" s="6">
        <f t="shared" si="79"/>
        <v>1.9974193548387097E-2</v>
      </c>
      <c r="T272" s="83">
        <f t="shared" si="80"/>
        <v>-1.4672282052093456E-2</v>
      </c>
      <c r="W272" s="80"/>
      <c r="X272" s="81">
        <f t="shared" si="71"/>
        <v>6.9980971187579311</v>
      </c>
      <c r="Y272">
        <f t="shared" si="81"/>
        <v>0.9999999999987027</v>
      </c>
      <c r="Z272" s="81">
        <f t="shared" si="89"/>
        <v>40.394228040143275</v>
      </c>
    </row>
    <row r="273" spans="1:26" hidden="1" x14ac:dyDescent="0.35">
      <c r="A273" s="36">
        <v>0.05</v>
      </c>
      <c r="B273" s="36">
        <v>0.15</v>
      </c>
      <c r="C273" s="5">
        <f t="shared" si="82"/>
        <v>15</v>
      </c>
      <c r="D273" s="81">
        <v>100</v>
      </c>
      <c r="E273" s="5">
        <f t="shared" si="83"/>
        <v>115</v>
      </c>
      <c r="F273" s="5">
        <f t="shared" si="84"/>
        <v>15</v>
      </c>
      <c r="G273" s="8">
        <f t="shared" si="85"/>
        <v>1.9947114020071637E-2</v>
      </c>
      <c r="H273" s="5">
        <f t="shared" si="86"/>
        <v>1.9947114020071637</v>
      </c>
      <c r="I273" s="80">
        <f t="shared" si="72"/>
        <v>4.1454799717541846E-3</v>
      </c>
      <c r="J273" s="80">
        <f t="shared" si="87"/>
        <v>2.0782354618231118E-3</v>
      </c>
      <c r="K273" s="81">
        <f t="shared" si="88"/>
        <v>2.4286636396906081E-2</v>
      </c>
      <c r="L273" s="5">
        <f t="shared" si="73"/>
        <v>0.05</v>
      </c>
      <c r="M273" s="80">
        <f t="shared" si="70"/>
        <v>-2.5713363603093922E-2</v>
      </c>
      <c r="N273" s="80">
        <f t="shared" si="74"/>
        <v>2.7952388475031724</v>
      </c>
      <c r="O273" s="6">
        <f t="shared" si="75"/>
        <v>0</v>
      </c>
      <c r="P273" s="6">
        <f t="shared" si="76"/>
        <v>0</v>
      </c>
      <c r="Q273" s="6">
        <f t="shared" si="77"/>
        <v>0</v>
      </c>
      <c r="R273" s="6">
        <f t="shared" si="78"/>
        <v>0</v>
      </c>
      <c r="S273" s="6">
        <f t="shared" si="79"/>
        <v>4.9838709677419359E-2</v>
      </c>
      <c r="T273" s="83">
        <f t="shared" si="80"/>
        <v>-2.5552073280513277E-2</v>
      </c>
      <c r="W273" s="80"/>
      <c r="X273" s="81">
        <f t="shared" si="71"/>
        <v>2.8202388475031723</v>
      </c>
      <c r="Y273">
        <f t="shared" si="81"/>
        <v>0.99760060418944196</v>
      </c>
      <c r="Z273" s="81">
        <f t="shared" si="89"/>
        <v>40.394228040143275</v>
      </c>
    </row>
    <row r="274" spans="1:26" hidden="1" x14ac:dyDescent="0.35">
      <c r="A274" s="36">
        <v>0.08</v>
      </c>
      <c r="B274" s="36">
        <v>0.15</v>
      </c>
      <c r="C274" s="5">
        <f t="shared" si="82"/>
        <v>15</v>
      </c>
      <c r="D274" s="81">
        <v>100</v>
      </c>
      <c r="E274" s="5">
        <f t="shared" si="83"/>
        <v>115</v>
      </c>
      <c r="F274" s="5">
        <f t="shared" si="84"/>
        <v>15</v>
      </c>
      <c r="G274" s="8">
        <f t="shared" si="85"/>
        <v>3.1915382432114614E-2</v>
      </c>
      <c r="H274" s="5">
        <f t="shared" si="86"/>
        <v>3.1915382432114612</v>
      </c>
      <c r="I274" s="80">
        <f t="shared" si="72"/>
        <v>0.13969702721855981</v>
      </c>
      <c r="J274" s="80">
        <f t="shared" si="87"/>
        <v>4.3771064788492312E-2</v>
      </c>
      <c r="K274" s="81">
        <f t="shared" si="88"/>
        <v>4.7941974084852165E-2</v>
      </c>
      <c r="L274" s="5">
        <f t="shared" si="73"/>
        <v>0.08</v>
      </c>
      <c r="M274" s="80">
        <f t="shared" si="70"/>
        <v>-3.2058025915147836E-2</v>
      </c>
      <c r="N274" s="80">
        <f t="shared" si="74"/>
        <v>1.7470242796894828</v>
      </c>
      <c r="O274" s="6">
        <f t="shared" si="75"/>
        <v>0</v>
      </c>
      <c r="P274" s="6">
        <f t="shared" si="76"/>
        <v>0</v>
      </c>
      <c r="Q274" s="6">
        <f t="shared" si="77"/>
        <v>0</v>
      </c>
      <c r="R274" s="6">
        <f t="shared" si="78"/>
        <v>0</v>
      </c>
      <c r="S274" s="6">
        <f t="shared" si="79"/>
        <v>7.9587096774193553E-2</v>
      </c>
      <c r="T274" s="83">
        <f t="shared" si="80"/>
        <v>-3.1645122689341387E-2</v>
      </c>
      <c r="W274" s="80"/>
      <c r="X274" s="81">
        <f t="shared" si="71"/>
        <v>1.7870242796894829</v>
      </c>
      <c r="Y274">
        <f t="shared" si="81"/>
        <v>0.96303321777597983</v>
      </c>
      <c r="Z274" s="81">
        <f t="shared" si="89"/>
        <v>40.394228040143275</v>
      </c>
    </row>
    <row r="275" spans="1:26" hidden="1" x14ac:dyDescent="0.35">
      <c r="A275" s="36">
        <v>0.1</v>
      </c>
      <c r="B275" s="36">
        <v>0.15</v>
      </c>
      <c r="C275" s="5">
        <f t="shared" si="82"/>
        <v>15</v>
      </c>
      <c r="D275" s="81">
        <v>100</v>
      </c>
      <c r="E275" s="5">
        <f t="shared" si="83"/>
        <v>115</v>
      </c>
      <c r="F275" s="5">
        <f t="shared" si="84"/>
        <v>15</v>
      </c>
      <c r="G275" s="8">
        <f t="shared" si="85"/>
        <v>3.9894228040143274E-2</v>
      </c>
      <c r="H275" s="5">
        <f t="shared" si="86"/>
        <v>3.9894228040143274</v>
      </c>
      <c r="I275" s="80">
        <f t="shared" si="72"/>
        <v>0.3949388377163956</v>
      </c>
      <c r="J275" s="80">
        <f t="shared" si="87"/>
        <v>9.8996485736982123E-2</v>
      </c>
      <c r="K275" s="81">
        <f t="shared" si="88"/>
        <v>6.4860070770700662E-2</v>
      </c>
      <c r="L275" s="5">
        <f t="shared" si="73"/>
        <v>0.1</v>
      </c>
      <c r="M275" s="80">
        <f t="shared" ref="M275:M298" si="90">K275-A275</f>
        <v>-3.5139929229299344E-2</v>
      </c>
      <c r="N275" s="80">
        <f t="shared" si="74"/>
        <v>1.3976194237515862</v>
      </c>
      <c r="O275" s="6">
        <f t="shared" si="75"/>
        <v>0</v>
      </c>
      <c r="P275" s="6">
        <f t="shared" si="76"/>
        <v>0</v>
      </c>
      <c r="Q275" s="6">
        <f t="shared" si="77"/>
        <v>0</v>
      </c>
      <c r="R275" s="6">
        <f t="shared" si="78"/>
        <v>0</v>
      </c>
      <c r="S275" s="6">
        <f t="shared" si="79"/>
        <v>9.9354838709677429E-2</v>
      </c>
      <c r="T275" s="83">
        <f t="shared" si="80"/>
        <v>-3.4494767938976767E-2</v>
      </c>
      <c r="W275" s="80"/>
      <c r="X275" s="81">
        <f t="shared" ref="X275:X298" si="91">N275+0.5*A275</f>
        <v>1.4476194237515863</v>
      </c>
      <c r="Y275">
        <f t="shared" si="81"/>
        <v>0.92613824207474338</v>
      </c>
      <c r="Z275" s="81">
        <f t="shared" si="89"/>
        <v>40.394228040143275</v>
      </c>
    </row>
    <row r="276" spans="1:26" hidden="1" x14ac:dyDescent="0.35">
      <c r="A276" s="36">
        <v>0.12</v>
      </c>
      <c r="B276" s="36">
        <v>0.15</v>
      </c>
      <c r="C276" s="5">
        <f t="shared" si="82"/>
        <v>15</v>
      </c>
      <c r="D276" s="81">
        <v>100</v>
      </c>
      <c r="E276" s="5">
        <f t="shared" si="83"/>
        <v>115</v>
      </c>
      <c r="F276" s="5">
        <f t="shared" si="84"/>
        <v>15</v>
      </c>
      <c r="G276" s="8">
        <f t="shared" si="85"/>
        <v>4.7873073648171921E-2</v>
      </c>
      <c r="H276" s="5">
        <f t="shared" si="86"/>
        <v>4.7873073648171918</v>
      </c>
      <c r="I276" s="80">
        <f t="shared" ref="I276:I312" si="92">($E276*NORMDIST(LN($E276/$D276)/$A276+0.5*$A276,0,1,TRUE)-$D276*NORMDIST(LN($E276/$D276)/$A276-0.5*$A276,0,1,TRUE)-$F276)</f>
        <v>0.77490440812481154</v>
      </c>
      <c r="J276" s="80">
        <f t="shared" si="87"/>
        <v>0.16186644162848776</v>
      </c>
      <c r="K276" s="81">
        <f t="shared" si="88"/>
        <v>8.2373059408983762E-2</v>
      </c>
      <c r="L276" s="5">
        <f t="shared" ref="L276:L298" si="93">A276</f>
        <v>0.12</v>
      </c>
      <c r="M276" s="80">
        <f t="shared" si="90"/>
        <v>-3.7626940591016234E-2</v>
      </c>
      <c r="N276" s="80">
        <f t="shared" ref="N276:N298" si="94">LN(1+B276)/A276</f>
        <v>1.164682853126322</v>
      </c>
      <c r="O276" s="6">
        <f t="shared" ref="O276:O298" si="95">IF($B$10=B276,1,0)</f>
        <v>0</v>
      </c>
      <c r="P276" s="6">
        <f t="shared" ref="P276:P298" si="96">O276*A276</f>
        <v>0</v>
      </c>
      <c r="Q276" s="6">
        <f t="shared" ref="Q276:Q298" si="97">IF(ISNUMBER(K276),O276*M276,0)</f>
        <v>0</v>
      </c>
      <c r="R276" s="6">
        <f t="shared" ref="R276:R298" si="98">IF(O276=0,0,$C$10*A276^2)</f>
        <v>0</v>
      </c>
      <c r="S276" s="6">
        <f t="shared" ref="S276:S312" si="99">A276-1/($B$11*B276+0.5)*A276^2</f>
        <v>0.11907096774193549</v>
      </c>
      <c r="T276" s="83">
        <f t="shared" ref="T276:T312" si="100">K276-S276</f>
        <v>-3.6697908332951723E-2</v>
      </c>
      <c r="W276" s="80"/>
      <c r="X276" s="81">
        <f t="shared" si="91"/>
        <v>1.2246828531263221</v>
      </c>
      <c r="Y276">
        <f t="shared" ref="Y276:Y298" si="101">NORMDIST(X276,0,1,TRUE)</f>
        <v>0.88965263144081663</v>
      </c>
      <c r="Z276" s="81">
        <f t="shared" ref="Z276:Z298" si="102">0.5+D263/(SQRT(2*PI()))</f>
        <v>40.394228040143275</v>
      </c>
    </row>
    <row r="277" spans="1:26" hidden="1" x14ac:dyDescent="0.35">
      <c r="A277" s="36">
        <v>0.15</v>
      </c>
      <c r="B277" s="36">
        <v>0.15</v>
      </c>
      <c r="C277" s="5">
        <f t="shared" si="82"/>
        <v>15</v>
      </c>
      <c r="D277" s="81">
        <v>100</v>
      </c>
      <c r="E277" s="5">
        <f t="shared" si="83"/>
        <v>115</v>
      </c>
      <c r="F277" s="5">
        <f t="shared" si="84"/>
        <v>15</v>
      </c>
      <c r="G277" s="8">
        <f t="shared" si="85"/>
        <v>5.9841342060214901E-2</v>
      </c>
      <c r="H277" s="5">
        <f t="shared" si="86"/>
        <v>5.9841342060214897</v>
      </c>
      <c r="I277" s="80">
        <f t="shared" si="92"/>
        <v>1.5209948486925811</v>
      </c>
      <c r="J277" s="80">
        <f t="shared" si="87"/>
        <v>0.25417124622006165</v>
      </c>
      <c r="K277" s="81">
        <f t="shared" si="88"/>
        <v>0.10950927102929489</v>
      </c>
      <c r="L277" s="5">
        <f t="shared" si="93"/>
        <v>0.15</v>
      </c>
      <c r="M277" s="80">
        <f t="shared" si="90"/>
        <v>-4.0490728970705103E-2</v>
      </c>
      <c r="N277" s="80">
        <f t="shared" si="94"/>
        <v>0.93174628250105751</v>
      </c>
      <c r="O277" s="6">
        <f t="shared" si="95"/>
        <v>0</v>
      </c>
      <c r="P277" s="6">
        <f t="shared" si="96"/>
        <v>0</v>
      </c>
      <c r="Q277" s="6">
        <f t="shared" si="97"/>
        <v>0</v>
      </c>
      <c r="R277" s="6">
        <f t="shared" si="98"/>
        <v>0</v>
      </c>
      <c r="S277" s="6">
        <f t="shared" si="99"/>
        <v>0.14854838709677418</v>
      </c>
      <c r="T277" s="83">
        <f t="shared" si="100"/>
        <v>-3.9039116067479285E-2</v>
      </c>
      <c r="W277" s="80"/>
      <c r="X277" s="81">
        <f t="shared" si="91"/>
        <v>1.0067462825010576</v>
      </c>
      <c r="Y277">
        <f t="shared" si="101"/>
        <v>0.84297164264940572</v>
      </c>
      <c r="Z277" s="81">
        <f t="shared" si="102"/>
        <v>40.394228040143275</v>
      </c>
    </row>
    <row r="278" spans="1:26" hidden="1" x14ac:dyDescent="0.35">
      <c r="A278" s="36">
        <v>0.2</v>
      </c>
      <c r="B278" s="36">
        <v>0.15</v>
      </c>
      <c r="C278" s="5">
        <f t="shared" si="82"/>
        <v>15</v>
      </c>
      <c r="D278" s="81">
        <v>100</v>
      </c>
      <c r="E278" s="5">
        <f t="shared" si="83"/>
        <v>115</v>
      </c>
      <c r="F278" s="5">
        <f t="shared" si="84"/>
        <v>15</v>
      </c>
      <c r="G278" s="8">
        <f t="shared" si="85"/>
        <v>7.9788456080286549E-2</v>
      </c>
      <c r="H278" s="5">
        <f t="shared" si="86"/>
        <v>7.9788456080286547</v>
      </c>
      <c r="I278" s="80">
        <f t="shared" si="92"/>
        <v>3.0619456597445094</v>
      </c>
      <c r="J278" s="80">
        <f t="shared" si="87"/>
        <v>0.38375797830496294</v>
      </c>
      <c r="K278" s="81">
        <f t="shared" si="88"/>
        <v>0.15661818489322918</v>
      </c>
      <c r="L278" s="5">
        <f t="shared" si="93"/>
        <v>0.2</v>
      </c>
      <c r="M278" s="80">
        <f t="shared" si="90"/>
        <v>-4.3381815106770832E-2</v>
      </c>
      <c r="N278" s="80">
        <f t="shared" si="94"/>
        <v>0.6988097118757931</v>
      </c>
      <c r="O278" s="6">
        <f t="shared" si="95"/>
        <v>0</v>
      </c>
      <c r="P278" s="6">
        <f t="shared" si="96"/>
        <v>0</v>
      </c>
      <c r="Q278" s="6">
        <f t="shared" si="97"/>
        <v>0</v>
      </c>
      <c r="R278" s="6">
        <f t="shared" si="98"/>
        <v>0</v>
      </c>
      <c r="S278" s="6">
        <f t="shared" si="99"/>
        <v>0.19741935483870968</v>
      </c>
      <c r="T278" s="83">
        <f t="shared" si="100"/>
        <v>-4.0801169945480498E-2</v>
      </c>
      <c r="W278" s="80"/>
      <c r="X278" s="81">
        <f t="shared" si="91"/>
        <v>0.79880971187579308</v>
      </c>
      <c r="Y278">
        <f t="shared" si="101"/>
        <v>0.78779962085867239</v>
      </c>
      <c r="Z278" s="81">
        <f t="shared" si="102"/>
        <v>40.394228040143275</v>
      </c>
    </row>
    <row r="279" spans="1:26" hidden="1" x14ac:dyDescent="0.35">
      <c r="A279" s="36">
        <v>0.25</v>
      </c>
      <c r="B279" s="36">
        <v>0.15</v>
      </c>
      <c r="C279" s="5">
        <f t="shared" ref="C279:C298" si="103">D279*B279</f>
        <v>15</v>
      </c>
      <c r="D279" s="81">
        <v>100</v>
      </c>
      <c r="E279" s="5">
        <f t="shared" ref="E279:E298" si="104">D279+C279</f>
        <v>115</v>
      </c>
      <c r="F279" s="5">
        <f t="shared" ref="F279:F298" si="105">E279-D279</f>
        <v>15</v>
      </c>
      <c r="G279" s="8">
        <f t="shared" ref="G279:G298" si="106">1/SQRT(2*PI())*A279</f>
        <v>9.9735570100358176E-2</v>
      </c>
      <c r="H279" s="5">
        <f t="shared" ref="H279:H298" si="107">G279*D279</f>
        <v>9.9735570100358171</v>
      </c>
      <c r="I279" s="80">
        <f t="shared" si="92"/>
        <v>4.8108500297429089</v>
      </c>
      <c r="J279" s="80">
        <f t="shared" ref="J279:J298" si="108">I279/H279</f>
        <v>0.48236050838251859</v>
      </c>
      <c r="K279" s="81">
        <f t="shared" ref="K279:K298" si="109">-B279/LN(J279)</f>
        <v>0.2057433949578803</v>
      </c>
      <c r="L279" s="5">
        <f t="shared" si="93"/>
        <v>0.25</v>
      </c>
      <c r="M279" s="80">
        <f t="shared" si="90"/>
        <v>-4.4256605042119701E-2</v>
      </c>
      <c r="N279" s="80">
        <f t="shared" si="94"/>
        <v>0.55904776950063451</v>
      </c>
      <c r="O279" s="6">
        <f t="shared" si="95"/>
        <v>0</v>
      </c>
      <c r="P279" s="6">
        <f t="shared" si="96"/>
        <v>0</v>
      </c>
      <c r="Q279" s="6">
        <f t="shared" si="97"/>
        <v>0</v>
      </c>
      <c r="R279" s="6">
        <f t="shared" si="98"/>
        <v>0</v>
      </c>
      <c r="S279" s="6">
        <f t="shared" si="99"/>
        <v>0.24596774193548387</v>
      </c>
      <c r="T279" s="83">
        <f t="shared" si="100"/>
        <v>-4.0224346977603576E-2</v>
      </c>
      <c r="W279" s="80"/>
      <c r="X279" s="81">
        <f t="shared" si="91"/>
        <v>0.68404776950063451</v>
      </c>
      <c r="Y279">
        <f t="shared" si="101"/>
        <v>0.7530274991402699</v>
      </c>
      <c r="Z279" s="81">
        <f t="shared" si="102"/>
        <v>40.394228040143275</v>
      </c>
    </row>
    <row r="280" spans="1:26" hidden="1" x14ac:dyDescent="0.35">
      <c r="A280" s="36">
        <v>0.3</v>
      </c>
      <c r="B280" s="36">
        <v>0.15</v>
      </c>
      <c r="C280" s="5">
        <f t="shared" si="103"/>
        <v>15</v>
      </c>
      <c r="D280" s="81">
        <v>100</v>
      </c>
      <c r="E280" s="5">
        <f t="shared" si="104"/>
        <v>115</v>
      </c>
      <c r="F280" s="5">
        <f t="shared" si="105"/>
        <v>15</v>
      </c>
      <c r="G280" s="8">
        <f t="shared" si="106"/>
        <v>0.1196826841204298</v>
      </c>
      <c r="H280" s="5">
        <f t="shared" si="107"/>
        <v>11.968268412042979</v>
      </c>
      <c r="I280" s="80">
        <f t="shared" si="92"/>
        <v>6.6711906100984706</v>
      </c>
      <c r="J280" s="80">
        <f t="shared" si="108"/>
        <v>0.55740650029085537</v>
      </c>
      <c r="K280" s="81">
        <f t="shared" si="109"/>
        <v>0.25664694095908525</v>
      </c>
      <c r="L280" s="5">
        <f t="shared" si="93"/>
        <v>0.3</v>
      </c>
      <c r="M280" s="80">
        <f t="shared" si="90"/>
        <v>-4.3353059040914743E-2</v>
      </c>
      <c r="N280" s="80">
        <f t="shared" si="94"/>
        <v>0.46587314125052876</v>
      </c>
      <c r="O280" s="6">
        <f t="shared" si="95"/>
        <v>0</v>
      </c>
      <c r="P280" s="6">
        <f t="shared" si="96"/>
        <v>0</v>
      </c>
      <c r="Q280" s="6">
        <f t="shared" si="97"/>
        <v>0</v>
      </c>
      <c r="R280" s="6">
        <f t="shared" si="98"/>
        <v>0</v>
      </c>
      <c r="S280" s="6">
        <f t="shared" si="99"/>
        <v>0.29419354838709677</v>
      </c>
      <c r="T280" s="83">
        <f t="shared" si="100"/>
        <v>-3.7546607428011525E-2</v>
      </c>
      <c r="W280" s="80"/>
      <c r="X280" s="81">
        <f t="shared" si="91"/>
        <v>0.61587314125052872</v>
      </c>
      <c r="Y280">
        <f t="shared" si="101"/>
        <v>0.7310108752434078</v>
      </c>
      <c r="Z280" s="81">
        <f t="shared" si="102"/>
        <v>40.394228040143275</v>
      </c>
    </row>
    <row r="281" spans="1:26" hidden="1" x14ac:dyDescent="0.35">
      <c r="A281" s="36">
        <v>0.35</v>
      </c>
      <c r="B281" s="36">
        <v>0.15</v>
      </c>
      <c r="C281" s="5">
        <f t="shared" si="103"/>
        <v>15</v>
      </c>
      <c r="D281" s="81">
        <v>100</v>
      </c>
      <c r="E281" s="5">
        <f t="shared" si="104"/>
        <v>115</v>
      </c>
      <c r="F281" s="5">
        <f t="shared" si="105"/>
        <v>15</v>
      </c>
      <c r="G281" s="8">
        <f t="shared" si="106"/>
        <v>0.13962979814050144</v>
      </c>
      <c r="H281" s="5">
        <f t="shared" si="107"/>
        <v>13.962979814050144</v>
      </c>
      <c r="I281" s="80">
        <f t="shared" si="92"/>
        <v>8.5947172849355837</v>
      </c>
      <c r="J281" s="80">
        <f t="shared" si="108"/>
        <v>0.61553603882512342</v>
      </c>
      <c r="K281" s="81">
        <f t="shared" si="109"/>
        <v>0.30911150489784178</v>
      </c>
      <c r="L281" s="5">
        <f t="shared" si="93"/>
        <v>0.35</v>
      </c>
      <c r="M281" s="80">
        <f t="shared" si="90"/>
        <v>-4.0888495102158195E-2</v>
      </c>
      <c r="N281" s="80">
        <f t="shared" si="94"/>
        <v>0.39931983535759608</v>
      </c>
      <c r="O281" s="6">
        <f t="shared" si="95"/>
        <v>0</v>
      </c>
      <c r="P281" s="6">
        <f t="shared" si="96"/>
        <v>0</v>
      </c>
      <c r="Q281" s="6">
        <f t="shared" si="97"/>
        <v>0</v>
      </c>
      <c r="R281" s="6">
        <f t="shared" si="98"/>
        <v>0</v>
      </c>
      <c r="S281" s="6">
        <f t="shared" si="99"/>
        <v>0.34209677419354839</v>
      </c>
      <c r="T281" s="83">
        <f t="shared" si="100"/>
        <v>-3.298526929570661E-2</v>
      </c>
      <c r="W281" s="80"/>
      <c r="X281" s="81">
        <f t="shared" si="91"/>
        <v>0.57431983535759601</v>
      </c>
      <c r="Y281">
        <f t="shared" si="101"/>
        <v>0.71712430549255968</v>
      </c>
      <c r="Z281" s="81">
        <f t="shared" si="102"/>
        <v>40.394228040143275</v>
      </c>
    </row>
    <row r="282" spans="1:26" hidden="1" x14ac:dyDescent="0.35">
      <c r="A282" s="36">
        <v>0.4</v>
      </c>
      <c r="B282" s="36">
        <v>0.15</v>
      </c>
      <c r="C282" s="5">
        <f t="shared" si="103"/>
        <v>15</v>
      </c>
      <c r="D282" s="81">
        <v>100</v>
      </c>
      <c r="E282" s="5">
        <f t="shared" si="104"/>
        <v>115</v>
      </c>
      <c r="F282" s="5">
        <f t="shared" si="105"/>
        <v>15</v>
      </c>
      <c r="G282" s="8">
        <f t="shared" si="106"/>
        <v>0.1595769121605731</v>
      </c>
      <c r="H282" s="5">
        <f t="shared" si="107"/>
        <v>15.957691216057309</v>
      </c>
      <c r="I282" s="80">
        <f t="shared" si="92"/>
        <v>10.554869576640861</v>
      </c>
      <c r="J282" s="80">
        <f t="shared" si="108"/>
        <v>0.66142836289626294</v>
      </c>
      <c r="K282" s="81">
        <f t="shared" si="109"/>
        <v>0.36288543602147011</v>
      </c>
      <c r="L282" s="5">
        <f t="shared" si="93"/>
        <v>0.4</v>
      </c>
      <c r="M282" s="80">
        <f t="shared" si="90"/>
        <v>-3.7114563978529913E-2</v>
      </c>
      <c r="N282" s="80">
        <f t="shared" si="94"/>
        <v>0.34940485593789655</v>
      </c>
      <c r="O282" s="6">
        <f t="shared" si="95"/>
        <v>0</v>
      </c>
      <c r="P282" s="6">
        <f t="shared" si="96"/>
        <v>0</v>
      </c>
      <c r="Q282" s="6">
        <f t="shared" si="97"/>
        <v>0</v>
      </c>
      <c r="R282" s="6">
        <f t="shared" si="98"/>
        <v>0</v>
      </c>
      <c r="S282" s="6">
        <f t="shared" si="99"/>
        <v>0.38967741935483874</v>
      </c>
      <c r="T282" s="83">
        <f t="shared" si="100"/>
        <v>-2.679198333336863E-2</v>
      </c>
      <c r="W282" s="80"/>
      <c r="X282" s="81">
        <f t="shared" si="91"/>
        <v>0.54940485593789656</v>
      </c>
      <c r="Y282">
        <f t="shared" si="101"/>
        <v>0.70863617881699881</v>
      </c>
      <c r="Z282" s="81">
        <f t="shared" si="102"/>
        <v>40.394228040143275</v>
      </c>
    </row>
    <row r="283" spans="1:26" hidden="1" x14ac:dyDescent="0.35">
      <c r="A283" s="36">
        <v>0.5</v>
      </c>
      <c r="B283" s="36">
        <v>0.15</v>
      </c>
      <c r="C283" s="5">
        <f t="shared" si="103"/>
        <v>15</v>
      </c>
      <c r="D283" s="81">
        <v>100</v>
      </c>
      <c r="E283" s="5">
        <f t="shared" si="104"/>
        <v>115</v>
      </c>
      <c r="F283" s="5">
        <f t="shared" si="105"/>
        <v>15</v>
      </c>
      <c r="G283" s="8">
        <f t="shared" si="106"/>
        <v>0.19947114020071635</v>
      </c>
      <c r="H283" s="5">
        <f t="shared" si="107"/>
        <v>19.947114020071634</v>
      </c>
      <c r="I283" s="80">
        <f t="shared" si="92"/>
        <v>14.526918897855246</v>
      </c>
      <c r="J283" s="80">
        <f t="shared" si="108"/>
        <v>0.72827171305270744</v>
      </c>
      <c r="K283" s="81">
        <f t="shared" si="109"/>
        <v>0.47306514024826452</v>
      </c>
      <c r="L283" s="5">
        <f t="shared" si="93"/>
        <v>0.5</v>
      </c>
      <c r="M283" s="80">
        <f t="shared" si="90"/>
        <v>-2.6934859751735485E-2</v>
      </c>
      <c r="N283" s="80">
        <f t="shared" si="94"/>
        <v>0.27952388475031725</v>
      </c>
      <c r="O283" s="6">
        <f t="shared" si="95"/>
        <v>0</v>
      </c>
      <c r="P283" s="6">
        <f t="shared" si="96"/>
        <v>0</v>
      </c>
      <c r="Q283" s="6">
        <f t="shared" si="97"/>
        <v>0</v>
      </c>
      <c r="R283" s="6">
        <f t="shared" si="98"/>
        <v>0</v>
      </c>
      <c r="S283" s="6">
        <f t="shared" si="99"/>
        <v>0.4838709677419355</v>
      </c>
      <c r="T283" s="83">
        <f t="shared" si="100"/>
        <v>-1.0805827493670983E-2</v>
      </c>
      <c r="W283" s="80"/>
      <c r="X283" s="81">
        <f t="shared" si="91"/>
        <v>0.5295238847503172</v>
      </c>
      <c r="Y283">
        <f t="shared" si="101"/>
        <v>0.70177895999598228</v>
      </c>
      <c r="Z283" s="81">
        <f t="shared" si="102"/>
        <v>40.394228040143275</v>
      </c>
    </row>
    <row r="284" spans="1:26" hidden="1" x14ac:dyDescent="0.35">
      <c r="A284" s="36">
        <v>0.6</v>
      </c>
      <c r="B284" s="36">
        <v>0.15</v>
      </c>
      <c r="C284" s="5">
        <f t="shared" si="103"/>
        <v>15</v>
      </c>
      <c r="D284" s="81">
        <v>100</v>
      </c>
      <c r="E284" s="5">
        <f t="shared" si="104"/>
        <v>115</v>
      </c>
      <c r="F284" s="5">
        <f t="shared" si="105"/>
        <v>15</v>
      </c>
      <c r="G284" s="8">
        <f t="shared" si="106"/>
        <v>0.23936536824085961</v>
      </c>
      <c r="H284" s="5">
        <f t="shared" si="107"/>
        <v>23.936536824085959</v>
      </c>
      <c r="I284" s="80">
        <f t="shared" si="92"/>
        <v>18.513984020298281</v>
      </c>
      <c r="J284" s="80">
        <f t="shared" si="108"/>
        <v>0.77346126368910328</v>
      </c>
      <c r="K284" s="81">
        <f t="shared" si="109"/>
        <v>0.58393094564773407</v>
      </c>
      <c r="L284" s="5">
        <f t="shared" si="93"/>
        <v>0.6</v>
      </c>
      <c r="M284" s="80">
        <f t="shared" si="90"/>
        <v>-1.606905435226591E-2</v>
      </c>
      <c r="N284" s="80">
        <f t="shared" si="94"/>
        <v>0.23293657062526438</v>
      </c>
      <c r="O284" s="6">
        <f t="shared" si="95"/>
        <v>0</v>
      </c>
      <c r="P284" s="6">
        <f t="shared" si="96"/>
        <v>0</v>
      </c>
      <c r="Q284" s="6">
        <f t="shared" si="97"/>
        <v>0</v>
      </c>
      <c r="R284" s="6">
        <f t="shared" si="98"/>
        <v>0</v>
      </c>
      <c r="S284" s="6">
        <f t="shared" si="99"/>
        <v>0.5767741935483871</v>
      </c>
      <c r="T284" s="83">
        <f t="shared" si="100"/>
        <v>7.1567520993469635E-3</v>
      </c>
      <c r="W284" s="80"/>
      <c r="X284" s="81">
        <f t="shared" si="91"/>
        <v>0.53293657062526434</v>
      </c>
      <c r="Y284">
        <f t="shared" si="101"/>
        <v>0.70296125559199163</v>
      </c>
      <c r="Z284" s="81">
        <f t="shared" si="102"/>
        <v>40.394228040143275</v>
      </c>
    </row>
    <row r="285" spans="1:26" hidden="1" x14ac:dyDescent="0.35">
      <c r="A285" s="36">
        <v>0.01</v>
      </c>
      <c r="B285" s="36">
        <v>0.2</v>
      </c>
      <c r="C285" s="5">
        <f t="shared" si="103"/>
        <v>20</v>
      </c>
      <c r="D285" s="81">
        <v>100</v>
      </c>
      <c r="E285" s="5">
        <f t="shared" si="104"/>
        <v>120</v>
      </c>
      <c r="F285" s="5">
        <f t="shared" si="105"/>
        <v>20</v>
      </c>
      <c r="G285" s="8">
        <f t="shared" si="106"/>
        <v>3.9894228040143268E-3</v>
      </c>
      <c r="H285" s="5">
        <f t="shared" si="107"/>
        <v>0.39894228040143265</v>
      </c>
      <c r="I285" s="80">
        <f t="shared" si="92"/>
        <v>0</v>
      </c>
      <c r="J285" s="80">
        <f t="shared" si="108"/>
        <v>0</v>
      </c>
      <c r="K285" s="81" t="e">
        <f t="shared" si="109"/>
        <v>#NUM!</v>
      </c>
      <c r="L285" s="5">
        <f t="shared" si="93"/>
        <v>0.01</v>
      </c>
      <c r="M285" s="80" t="e">
        <f t="shared" si="90"/>
        <v>#NUM!</v>
      </c>
      <c r="N285" s="80">
        <f t="shared" si="94"/>
        <v>18.232155679395458</v>
      </c>
      <c r="O285" s="6">
        <f t="shared" si="95"/>
        <v>0</v>
      </c>
      <c r="P285" s="6">
        <f t="shared" si="96"/>
        <v>0</v>
      </c>
      <c r="Q285" s="6">
        <f t="shared" si="97"/>
        <v>0</v>
      </c>
      <c r="R285" s="6">
        <f t="shared" si="98"/>
        <v>0</v>
      </c>
      <c r="S285" s="6">
        <f t="shared" si="99"/>
        <v>9.9951219512195121E-3</v>
      </c>
      <c r="T285" s="83" t="e">
        <f t="shared" si="100"/>
        <v>#NUM!</v>
      </c>
      <c r="W285" s="80"/>
      <c r="X285" s="81">
        <f t="shared" si="91"/>
        <v>18.237155679395457</v>
      </c>
      <c r="Y285">
        <f t="shared" si="101"/>
        <v>1</v>
      </c>
      <c r="Z285" s="81">
        <f t="shared" si="102"/>
        <v>40.394228040143275</v>
      </c>
    </row>
    <row r="286" spans="1:26" hidden="1" x14ac:dyDescent="0.35">
      <c r="A286" s="36">
        <v>0.02</v>
      </c>
      <c r="B286" s="36">
        <v>0.2</v>
      </c>
      <c r="C286" s="5">
        <f t="shared" si="103"/>
        <v>20</v>
      </c>
      <c r="D286" s="81">
        <v>100</v>
      </c>
      <c r="E286" s="5">
        <f t="shared" si="104"/>
        <v>120</v>
      </c>
      <c r="F286" s="5">
        <f t="shared" si="105"/>
        <v>20</v>
      </c>
      <c r="G286" s="8">
        <f t="shared" si="106"/>
        <v>7.9788456080286535E-3</v>
      </c>
      <c r="H286" s="5">
        <f t="shared" si="107"/>
        <v>0.79788456080286529</v>
      </c>
      <c r="I286" s="80">
        <f t="shared" si="92"/>
        <v>0</v>
      </c>
      <c r="J286" s="80">
        <f t="shared" si="108"/>
        <v>0</v>
      </c>
      <c r="K286" s="81" t="e">
        <f t="shared" si="109"/>
        <v>#NUM!</v>
      </c>
      <c r="L286" s="5">
        <f t="shared" si="93"/>
        <v>0.02</v>
      </c>
      <c r="M286" s="80" t="e">
        <f t="shared" si="90"/>
        <v>#NUM!</v>
      </c>
      <c r="N286" s="80">
        <f t="shared" si="94"/>
        <v>9.1160778396977289</v>
      </c>
      <c r="O286" s="6">
        <f t="shared" si="95"/>
        <v>0</v>
      </c>
      <c r="P286" s="6">
        <f t="shared" si="96"/>
        <v>0</v>
      </c>
      <c r="Q286" s="6">
        <f t="shared" si="97"/>
        <v>0</v>
      </c>
      <c r="R286" s="6">
        <f t="shared" si="98"/>
        <v>0</v>
      </c>
      <c r="S286" s="6">
        <f t="shared" si="99"/>
        <v>1.9980487804878048E-2</v>
      </c>
      <c r="T286" s="83" t="e">
        <f t="shared" si="100"/>
        <v>#NUM!</v>
      </c>
      <c r="W286" s="80"/>
      <c r="X286" s="81">
        <f t="shared" si="91"/>
        <v>9.1260778396977287</v>
      </c>
      <c r="Y286">
        <f t="shared" si="101"/>
        <v>1</v>
      </c>
      <c r="Z286" s="81">
        <f t="shared" si="102"/>
        <v>40.394228040143275</v>
      </c>
    </row>
    <row r="287" spans="1:26" hidden="1" x14ac:dyDescent="0.35">
      <c r="A287" s="36">
        <v>0.05</v>
      </c>
      <c r="B287" s="36">
        <v>0.2</v>
      </c>
      <c r="C287" s="5">
        <f t="shared" si="103"/>
        <v>20</v>
      </c>
      <c r="D287" s="81">
        <v>100</v>
      </c>
      <c r="E287" s="5">
        <f t="shared" si="104"/>
        <v>120</v>
      </c>
      <c r="F287" s="5">
        <f t="shared" si="105"/>
        <v>20</v>
      </c>
      <c r="G287" s="8">
        <f t="shared" si="106"/>
        <v>1.9947114020071637E-2</v>
      </c>
      <c r="H287" s="5">
        <f t="shared" si="107"/>
        <v>1.9947114020071637</v>
      </c>
      <c r="I287" s="80">
        <f t="shared" si="92"/>
        <v>1.7712558647531296E-4</v>
      </c>
      <c r="J287" s="80">
        <f t="shared" si="108"/>
        <v>8.8797600643923552E-5</v>
      </c>
      <c r="K287" s="81">
        <f t="shared" si="109"/>
        <v>2.1438178194485083E-2</v>
      </c>
      <c r="L287" s="5">
        <f t="shared" si="93"/>
        <v>0.05</v>
      </c>
      <c r="M287" s="80">
        <f t="shared" si="90"/>
        <v>-2.856182180551492E-2</v>
      </c>
      <c r="N287" s="80">
        <f t="shared" si="94"/>
        <v>3.6464311358790917</v>
      </c>
      <c r="O287" s="6">
        <f t="shared" si="95"/>
        <v>0</v>
      </c>
      <c r="P287" s="6">
        <f t="shared" si="96"/>
        <v>0</v>
      </c>
      <c r="Q287" s="6">
        <f t="shared" si="97"/>
        <v>0</v>
      </c>
      <c r="R287" s="6">
        <f t="shared" si="98"/>
        <v>0</v>
      </c>
      <c r="S287" s="6">
        <f t="shared" si="99"/>
        <v>4.9878048780487808E-2</v>
      </c>
      <c r="T287" s="83">
        <f t="shared" si="100"/>
        <v>-2.8439870586002725E-2</v>
      </c>
      <c r="W287" s="80"/>
      <c r="X287" s="81">
        <f t="shared" si="91"/>
        <v>3.6714311358790916</v>
      </c>
      <c r="Y287">
        <f t="shared" si="101"/>
        <v>0.99987940196469793</v>
      </c>
      <c r="Z287" s="81">
        <f t="shared" si="102"/>
        <v>40.394228040143275</v>
      </c>
    </row>
    <row r="288" spans="1:26" hidden="1" x14ac:dyDescent="0.35">
      <c r="A288" s="36">
        <v>0.08</v>
      </c>
      <c r="B288" s="36">
        <v>0.2</v>
      </c>
      <c r="C288" s="5">
        <f t="shared" si="103"/>
        <v>20</v>
      </c>
      <c r="D288" s="81">
        <v>100</v>
      </c>
      <c r="E288" s="5">
        <f t="shared" si="104"/>
        <v>120</v>
      </c>
      <c r="F288" s="5">
        <f t="shared" si="105"/>
        <v>20</v>
      </c>
      <c r="G288" s="8">
        <f t="shared" si="106"/>
        <v>3.1915382432114614E-2</v>
      </c>
      <c r="H288" s="5">
        <f t="shared" si="107"/>
        <v>3.1915382432114612</v>
      </c>
      <c r="I288" s="80">
        <f t="shared" si="92"/>
        <v>3.4093628273311083E-2</v>
      </c>
      <c r="J288" s="80">
        <f t="shared" si="108"/>
        <v>1.0682506576830057E-2</v>
      </c>
      <c r="K288" s="81">
        <f t="shared" si="109"/>
        <v>4.4061134363397161E-2</v>
      </c>
      <c r="L288" s="5">
        <f t="shared" si="93"/>
        <v>0.08</v>
      </c>
      <c r="M288" s="80">
        <f t="shared" si="90"/>
        <v>-3.593886563660284E-2</v>
      </c>
      <c r="N288" s="80">
        <f t="shared" si="94"/>
        <v>2.2790194599244322</v>
      </c>
      <c r="O288" s="6">
        <f t="shared" si="95"/>
        <v>0</v>
      </c>
      <c r="P288" s="6">
        <f t="shared" si="96"/>
        <v>0</v>
      </c>
      <c r="Q288" s="6">
        <f t="shared" si="97"/>
        <v>0</v>
      </c>
      <c r="R288" s="6">
        <f t="shared" si="98"/>
        <v>0</v>
      </c>
      <c r="S288" s="6">
        <f t="shared" si="99"/>
        <v>7.9687804878048787E-2</v>
      </c>
      <c r="T288" s="83">
        <f t="shared" si="100"/>
        <v>-3.5626670514651626E-2</v>
      </c>
      <c r="W288" s="80"/>
      <c r="X288" s="81">
        <f t="shared" si="91"/>
        <v>2.3190194599244323</v>
      </c>
      <c r="Y288">
        <f t="shared" si="101"/>
        <v>0.98980300940054011</v>
      </c>
      <c r="Z288" s="81">
        <f t="shared" si="102"/>
        <v>40.394228040143275</v>
      </c>
    </row>
    <row r="289" spans="1:26" hidden="1" x14ac:dyDescent="0.35">
      <c r="A289" s="36">
        <v>0.1</v>
      </c>
      <c r="B289" s="36">
        <v>0.2</v>
      </c>
      <c r="C289" s="5">
        <f t="shared" si="103"/>
        <v>20</v>
      </c>
      <c r="D289" s="81">
        <v>100</v>
      </c>
      <c r="E289" s="5">
        <f t="shared" si="104"/>
        <v>120</v>
      </c>
      <c r="F289" s="5">
        <f t="shared" si="105"/>
        <v>20</v>
      </c>
      <c r="G289" s="8">
        <f t="shared" si="106"/>
        <v>3.9894228040143274E-2</v>
      </c>
      <c r="H289" s="5">
        <f t="shared" si="107"/>
        <v>3.9894228040143274</v>
      </c>
      <c r="I289" s="80">
        <f t="shared" si="92"/>
        <v>0.14733226325695625</v>
      </c>
      <c r="J289" s="80">
        <f t="shared" si="108"/>
        <v>3.6930721684526456E-2</v>
      </c>
      <c r="K289" s="81">
        <f t="shared" si="109"/>
        <v>6.0629733607723411E-2</v>
      </c>
      <c r="L289" s="5">
        <f t="shared" si="93"/>
        <v>0.1</v>
      </c>
      <c r="M289" s="80">
        <f t="shared" si="90"/>
        <v>-3.9370266392276594E-2</v>
      </c>
      <c r="N289" s="80">
        <f t="shared" si="94"/>
        <v>1.8232155679395459</v>
      </c>
      <c r="O289" s="6">
        <f t="shared" si="95"/>
        <v>0</v>
      </c>
      <c r="P289" s="6">
        <f t="shared" si="96"/>
        <v>0</v>
      </c>
      <c r="Q289" s="6">
        <f t="shared" si="97"/>
        <v>0</v>
      </c>
      <c r="R289" s="6">
        <f t="shared" si="98"/>
        <v>0</v>
      </c>
      <c r="S289" s="6">
        <f t="shared" si="99"/>
        <v>9.9512195121951225E-2</v>
      </c>
      <c r="T289" s="83">
        <f t="shared" si="100"/>
        <v>-3.8882461514227813E-2</v>
      </c>
      <c r="W289" s="80"/>
      <c r="X289" s="81">
        <f t="shared" si="91"/>
        <v>1.8732155679395459</v>
      </c>
      <c r="Y289">
        <f t="shared" si="101"/>
        <v>0.96948068829514977</v>
      </c>
      <c r="Z289" s="81">
        <f t="shared" si="102"/>
        <v>40.394228040143275</v>
      </c>
    </row>
    <row r="290" spans="1:26" hidden="1" x14ac:dyDescent="0.35">
      <c r="A290" s="36">
        <v>0.12</v>
      </c>
      <c r="B290" s="36">
        <v>0.2</v>
      </c>
      <c r="C290" s="5">
        <f t="shared" si="103"/>
        <v>20</v>
      </c>
      <c r="D290" s="81">
        <v>100</v>
      </c>
      <c r="E290" s="5">
        <f t="shared" si="104"/>
        <v>120</v>
      </c>
      <c r="F290" s="5">
        <f t="shared" si="105"/>
        <v>20</v>
      </c>
      <c r="G290" s="8">
        <f t="shared" si="106"/>
        <v>4.7873073648171921E-2</v>
      </c>
      <c r="H290" s="5">
        <f t="shared" si="107"/>
        <v>4.7873073648171918</v>
      </c>
      <c r="I290" s="80">
        <f t="shared" si="92"/>
        <v>0.36809206048268095</v>
      </c>
      <c r="J290" s="80">
        <f t="shared" si="108"/>
        <v>7.6889163872756044E-2</v>
      </c>
      <c r="K290" s="81">
        <f t="shared" si="109"/>
        <v>7.7960845998140155E-2</v>
      </c>
      <c r="L290" s="5">
        <f t="shared" si="93"/>
        <v>0.12</v>
      </c>
      <c r="M290" s="80">
        <f t="shared" si="90"/>
        <v>-4.2039154001859841E-2</v>
      </c>
      <c r="N290" s="80">
        <f t="shared" si="94"/>
        <v>1.5193463066162882</v>
      </c>
      <c r="O290" s="6">
        <f t="shared" si="95"/>
        <v>0</v>
      </c>
      <c r="P290" s="6">
        <f t="shared" si="96"/>
        <v>0</v>
      </c>
      <c r="Q290" s="6">
        <f t="shared" si="97"/>
        <v>0</v>
      </c>
      <c r="R290" s="6">
        <f t="shared" si="98"/>
        <v>0</v>
      </c>
      <c r="S290" s="6">
        <f t="shared" si="99"/>
        <v>0.11929756097560976</v>
      </c>
      <c r="T290" s="83">
        <f t="shared" si="100"/>
        <v>-4.1336714977469602E-2</v>
      </c>
      <c r="W290" s="80"/>
      <c r="X290" s="81">
        <f t="shared" si="91"/>
        <v>1.5793463066162883</v>
      </c>
      <c r="Y290">
        <f t="shared" si="101"/>
        <v>0.94287167706953434</v>
      </c>
      <c r="Z290" s="81">
        <f t="shared" si="102"/>
        <v>40.394228040143275</v>
      </c>
    </row>
    <row r="291" spans="1:26" hidden="1" x14ac:dyDescent="0.35">
      <c r="A291" s="36">
        <v>0.15</v>
      </c>
      <c r="B291" s="36">
        <v>0.2</v>
      </c>
      <c r="C291" s="5">
        <f t="shared" si="103"/>
        <v>20</v>
      </c>
      <c r="D291" s="81">
        <v>100</v>
      </c>
      <c r="E291" s="5">
        <f t="shared" si="104"/>
        <v>120</v>
      </c>
      <c r="F291" s="5">
        <f t="shared" si="105"/>
        <v>20</v>
      </c>
      <c r="G291" s="8">
        <f t="shared" si="106"/>
        <v>5.9841342060214901E-2</v>
      </c>
      <c r="H291" s="5">
        <f t="shared" si="107"/>
        <v>5.9841342060214897</v>
      </c>
      <c r="I291" s="80">
        <f t="shared" si="92"/>
        <v>0.89127592579210102</v>
      </c>
      <c r="J291" s="80">
        <f t="shared" si="108"/>
        <v>0.14893982907256012</v>
      </c>
      <c r="K291" s="81">
        <f t="shared" si="109"/>
        <v>0.10503027336708849</v>
      </c>
      <c r="L291" s="5">
        <f t="shared" si="93"/>
        <v>0.15</v>
      </c>
      <c r="M291" s="80">
        <f t="shared" si="90"/>
        <v>-4.4969726632911503E-2</v>
      </c>
      <c r="N291" s="80">
        <f t="shared" si="94"/>
        <v>1.2154770452930306</v>
      </c>
      <c r="O291" s="6">
        <f t="shared" si="95"/>
        <v>0</v>
      </c>
      <c r="P291" s="6">
        <f t="shared" si="96"/>
        <v>0</v>
      </c>
      <c r="Q291" s="6">
        <f t="shared" si="97"/>
        <v>0</v>
      </c>
      <c r="R291" s="6">
        <f t="shared" si="98"/>
        <v>0</v>
      </c>
      <c r="S291" s="6">
        <f t="shared" si="99"/>
        <v>0.14890243902439024</v>
      </c>
      <c r="T291" s="83">
        <f t="shared" si="100"/>
        <v>-4.3872165657301745E-2</v>
      </c>
      <c r="W291" s="80"/>
      <c r="X291" s="81">
        <f t="shared" si="91"/>
        <v>1.2904770452930305</v>
      </c>
      <c r="Y291">
        <f t="shared" si="101"/>
        <v>0.90155746160509143</v>
      </c>
      <c r="Z291" s="81">
        <f t="shared" si="102"/>
        <v>40.394228040143275</v>
      </c>
    </row>
    <row r="292" spans="1:26" hidden="1" x14ac:dyDescent="0.35">
      <c r="A292" s="36">
        <v>0.2</v>
      </c>
      <c r="B292" s="36">
        <v>0.2</v>
      </c>
      <c r="C292" s="5">
        <f t="shared" si="103"/>
        <v>20</v>
      </c>
      <c r="D292" s="81">
        <v>100</v>
      </c>
      <c r="E292" s="5">
        <f t="shared" si="104"/>
        <v>120</v>
      </c>
      <c r="F292" s="5">
        <f t="shared" si="105"/>
        <v>20</v>
      </c>
      <c r="G292" s="8">
        <f t="shared" si="106"/>
        <v>7.9788456080286549E-2</v>
      </c>
      <c r="H292" s="5">
        <f t="shared" si="107"/>
        <v>7.9788456080286547</v>
      </c>
      <c r="I292" s="80">
        <f t="shared" si="92"/>
        <v>2.1472988105781496</v>
      </c>
      <c r="J292" s="80">
        <f t="shared" si="108"/>
        <v>0.26912399563383532</v>
      </c>
      <c r="K292" s="81">
        <f t="shared" si="109"/>
        <v>0.15237131029267398</v>
      </c>
      <c r="L292" s="5">
        <f t="shared" si="93"/>
        <v>0.2</v>
      </c>
      <c r="M292" s="80">
        <f t="shared" si="90"/>
        <v>-4.7628689707326033E-2</v>
      </c>
      <c r="N292" s="80">
        <f t="shared" si="94"/>
        <v>0.91160778396977293</v>
      </c>
      <c r="O292" s="6">
        <f t="shared" si="95"/>
        <v>0</v>
      </c>
      <c r="P292" s="6">
        <f t="shared" si="96"/>
        <v>0</v>
      </c>
      <c r="Q292" s="6">
        <f t="shared" si="97"/>
        <v>0</v>
      </c>
      <c r="R292" s="6">
        <f t="shared" si="98"/>
        <v>0</v>
      </c>
      <c r="S292" s="6">
        <f t="shared" si="99"/>
        <v>0.19804878048780489</v>
      </c>
      <c r="T292" s="83">
        <f t="shared" si="100"/>
        <v>-4.5677470195130909E-2</v>
      </c>
      <c r="W292" s="80"/>
      <c r="X292" s="81">
        <f t="shared" si="91"/>
        <v>1.011607783969773</v>
      </c>
      <c r="Y292">
        <f t="shared" si="101"/>
        <v>0.84413718868480547</v>
      </c>
      <c r="Z292" s="81">
        <f t="shared" si="102"/>
        <v>40.394228040143275</v>
      </c>
    </row>
    <row r="293" spans="1:26" hidden="1" x14ac:dyDescent="0.35">
      <c r="A293" s="36">
        <v>0.25</v>
      </c>
      <c r="B293" s="36">
        <v>0.2</v>
      </c>
      <c r="C293" s="5">
        <f t="shared" si="103"/>
        <v>20</v>
      </c>
      <c r="D293" s="81">
        <v>100</v>
      </c>
      <c r="E293" s="5">
        <f t="shared" si="104"/>
        <v>120</v>
      </c>
      <c r="F293" s="5">
        <f t="shared" si="105"/>
        <v>20</v>
      </c>
      <c r="G293" s="8">
        <f t="shared" si="106"/>
        <v>9.9735570100358176E-2</v>
      </c>
      <c r="H293" s="5">
        <f t="shared" si="107"/>
        <v>9.9735570100358171</v>
      </c>
      <c r="I293" s="80">
        <f t="shared" si="92"/>
        <v>3.7058830858938734</v>
      </c>
      <c r="J293" s="80">
        <f t="shared" si="108"/>
        <v>0.3715708530231347</v>
      </c>
      <c r="K293" s="81">
        <f t="shared" si="109"/>
        <v>0.20201699596000364</v>
      </c>
      <c r="L293" s="5">
        <f t="shared" si="93"/>
        <v>0.25</v>
      </c>
      <c r="M293" s="80">
        <f t="shared" si="90"/>
        <v>-4.7983004039996363E-2</v>
      </c>
      <c r="N293" s="80">
        <f t="shared" si="94"/>
        <v>0.72928622717581837</v>
      </c>
      <c r="O293" s="6">
        <f t="shared" si="95"/>
        <v>0</v>
      </c>
      <c r="P293" s="6">
        <f t="shared" si="96"/>
        <v>0</v>
      </c>
      <c r="Q293" s="6">
        <f t="shared" si="97"/>
        <v>0</v>
      </c>
      <c r="R293" s="6">
        <f t="shared" si="98"/>
        <v>0</v>
      </c>
      <c r="S293" s="6">
        <f t="shared" si="99"/>
        <v>0.24695121951219512</v>
      </c>
      <c r="T293" s="83">
        <f t="shared" si="100"/>
        <v>-4.4934223552191482E-2</v>
      </c>
      <c r="W293" s="80"/>
      <c r="X293" s="81">
        <f t="shared" si="91"/>
        <v>0.85428622717581837</v>
      </c>
      <c r="Y293">
        <f t="shared" si="101"/>
        <v>0.80352679174238562</v>
      </c>
      <c r="Z293" s="81">
        <f t="shared" si="102"/>
        <v>40.394228040143275</v>
      </c>
    </row>
    <row r="294" spans="1:26" hidden="1" x14ac:dyDescent="0.35">
      <c r="A294" s="36">
        <v>0.3</v>
      </c>
      <c r="B294" s="36">
        <v>0.2</v>
      </c>
      <c r="C294" s="5">
        <f t="shared" si="103"/>
        <v>20</v>
      </c>
      <c r="D294" s="81">
        <v>100</v>
      </c>
      <c r="E294" s="5">
        <f t="shared" si="104"/>
        <v>120</v>
      </c>
      <c r="F294" s="5">
        <f t="shared" si="105"/>
        <v>20</v>
      </c>
      <c r="G294" s="8">
        <f t="shared" si="106"/>
        <v>0.1196826841204298</v>
      </c>
      <c r="H294" s="5">
        <f t="shared" si="107"/>
        <v>11.968268412042979</v>
      </c>
      <c r="I294" s="80">
        <f t="shared" si="92"/>
        <v>5.4405634678143144</v>
      </c>
      <c r="J294" s="80">
        <f t="shared" si="108"/>
        <v>0.45458234061159497</v>
      </c>
      <c r="K294" s="81">
        <f t="shared" si="109"/>
        <v>0.25368598946727627</v>
      </c>
      <c r="L294" s="5">
        <f t="shared" si="93"/>
        <v>0.3</v>
      </c>
      <c r="M294" s="80">
        <f t="shared" si="90"/>
        <v>-4.6314010532723715E-2</v>
      </c>
      <c r="N294" s="80">
        <f t="shared" si="94"/>
        <v>0.60773852264651529</v>
      </c>
      <c r="O294" s="6">
        <f t="shared" si="95"/>
        <v>0</v>
      </c>
      <c r="P294" s="6">
        <f t="shared" si="96"/>
        <v>0</v>
      </c>
      <c r="Q294" s="6">
        <f t="shared" si="97"/>
        <v>0</v>
      </c>
      <c r="R294" s="6">
        <f t="shared" si="98"/>
        <v>0</v>
      </c>
      <c r="S294" s="6">
        <f t="shared" si="99"/>
        <v>0.29560975609756096</v>
      </c>
      <c r="T294" s="83">
        <f t="shared" si="100"/>
        <v>-4.1923766630284687E-2</v>
      </c>
      <c r="W294" s="80"/>
      <c r="X294" s="81">
        <f t="shared" si="91"/>
        <v>0.75773852264651531</v>
      </c>
      <c r="Y294">
        <f t="shared" si="101"/>
        <v>0.77569623379260544</v>
      </c>
      <c r="Z294" s="81">
        <f t="shared" si="102"/>
        <v>40.394228040143275</v>
      </c>
    </row>
    <row r="295" spans="1:26" hidden="1" x14ac:dyDescent="0.35">
      <c r="A295" s="36">
        <v>0.35</v>
      </c>
      <c r="B295" s="36">
        <v>0.2</v>
      </c>
      <c r="C295" s="5">
        <f t="shared" si="103"/>
        <v>20</v>
      </c>
      <c r="D295" s="81">
        <v>100</v>
      </c>
      <c r="E295" s="5">
        <f t="shared" si="104"/>
        <v>120</v>
      </c>
      <c r="F295" s="5">
        <f t="shared" si="105"/>
        <v>20</v>
      </c>
      <c r="G295" s="8">
        <f t="shared" si="106"/>
        <v>0.13962979814050144</v>
      </c>
      <c r="H295" s="5">
        <f t="shared" si="107"/>
        <v>13.962979814050144</v>
      </c>
      <c r="I295" s="80">
        <f t="shared" si="92"/>
        <v>7.2814059954164847</v>
      </c>
      <c r="J295" s="80">
        <f t="shared" si="108"/>
        <v>0.52147937563367563</v>
      </c>
      <c r="K295" s="81">
        <f t="shared" si="109"/>
        <v>0.30717929299684704</v>
      </c>
      <c r="L295" s="5">
        <f t="shared" si="93"/>
        <v>0.35</v>
      </c>
      <c r="M295" s="80">
        <f t="shared" si="90"/>
        <v>-4.2820707003152936E-2</v>
      </c>
      <c r="N295" s="80">
        <f t="shared" si="94"/>
        <v>0.52091873369701314</v>
      </c>
      <c r="O295" s="6">
        <f t="shared" si="95"/>
        <v>0</v>
      </c>
      <c r="P295" s="6">
        <f t="shared" si="96"/>
        <v>0</v>
      </c>
      <c r="Q295" s="6">
        <f t="shared" si="97"/>
        <v>0</v>
      </c>
      <c r="R295" s="6">
        <f t="shared" si="98"/>
        <v>0</v>
      </c>
      <c r="S295" s="6">
        <f t="shared" si="99"/>
        <v>0.34402439024390241</v>
      </c>
      <c r="T295" s="83">
        <f t="shared" si="100"/>
        <v>-3.6845097247055369E-2</v>
      </c>
      <c r="W295" s="80"/>
      <c r="X295" s="81">
        <f t="shared" si="91"/>
        <v>0.69591873369701318</v>
      </c>
      <c r="Y295">
        <f t="shared" si="101"/>
        <v>0.75676013773553819</v>
      </c>
      <c r="Z295" s="81">
        <f t="shared" si="102"/>
        <v>40.394228040143275</v>
      </c>
    </row>
    <row r="296" spans="1:26" hidden="1" x14ac:dyDescent="0.35">
      <c r="A296" s="36">
        <v>0.4</v>
      </c>
      <c r="B296" s="36">
        <v>0.2</v>
      </c>
      <c r="C296" s="5">
        <f t="shared" si="103"/>
        <v>20</v>
      </c>
      <c r="D296" s="81">
        <v>100</v>
      </c>
      <c r="E296" s="5">
        <f t="shared" si="104"/>
        <v>120</v>
      </c>
      <c r="F296" s="5">
        <f t="shared" si="105"/>
        <v>20</v>
      </c>
      <c r="G296" s="8">
        <f t="shared" si="106"/>
        <v>0.1595769121605731</v>
      </c>
      <c r="H296" s="5">
        <f t="shared" si="107"/>
        <v>15.957691216057309</v>
      </c>
      <c r="I296" s="80">
        <f t="shared" si="92"/>
        <v>9.1880947095225025</v>
      </c>
      <c r="J296" s="80">
        <f t="shared" si="108"/>
        <v>0.57577844972191528</v>
      </c>
      <c r="K296" s="81">
        <f t="shared" si="109"/>
        <v>0.36229762242448171</v>
      </c>
      <c r="L296" s="5">
        <f t="shared" si="93"/>
        <v>0.4</v>
      </c>
      <c r="M296" s="80">
        <f t="shared" si="90"/>
        <v>-3.7702377575518309E-2</v>
      </c>
      <c r="N296" s="80">
        <f t="shared" si="94"/>
        <v>0.45580389198488647</v>
      </c>
      <c r="O296" s="6">
        <f t="shared" si="95"/>
        <v>0</v>
      </c>
      <c r="P296" s="6">
        <f t="shared" si="96"/>
        <v>0</v>
      </c>
      <c r="Q296" s="6">
        <f t="shared" si="97"/>
        <v>0</v>
      </c>
      <c r="R296" s="6">
        <f t="shared" si="98"/>
        <v>0</v>
      </c>
      <c r="S296" s="6">
        <f t="shared" si="99"/>
        <v>0.39219512195121953</v>
      </c>
      <c r="T296" s="83">
        <f t="shared" si="100"/>
        <v>-2.9897499526737814E-2</v>
      </c>
      <c r="W296" s="80"/>
      <c r="X296" s="81">
        <f t="shared" si="91"/>
        <v>0.65580389198488653</v>
      </c>
      <c r="Y296">
        <f t="shared" si="101"/>
        <v>0.74402484403455671</v>
      </c>
      <c r="Z296" s="81">
        <f t="shared" si="102"/>
        <v>40.394228040143275</v>
      </c>
    </row>
    <row r="297" spans="1:26" hidden="1" x14ac:dyDescent="0.35">
      <c r="A297" s="36">
        <v>0.5</v>
      </c>
      <c r="B297" s="36">
        <v>0.2</v>
      </c>
      <c r="C297" s="5">
        <f t="shared" si="103"/>
        <v>20</v>
      </c>
      <c r="D297" s="81">
        <v>100</v>
      </c>
      <c r="E297" s="5">
        <f t="shared" si="104"/>
        <v>120</v>
      </c>
      <c r="F297" s="5">
        <f t="shared" si="105"/>
        <v>20</v>
      </c>
      <c r="G297" s="8">
        <f t="shared" si="106"/>
        <v>0.19947114020071635</v>
      </c>
      <c r="H297" s="5">
        <f t="shared" si="107"/>
        <v>19.947114020071634</v>
      </c>
      <c r="I297" s="80">
        <f t="shared" si="92"/>
        <v>13.108974138557585</v>
      </c>
      <c r="J297" s="80">
        <f t="shared" si="108"/>
        <v>0.6571865045423001</v>
      </c>
      <c r="K297" s="81">
        <f t="shared" si="109"/>
        <v>0.47643160978699028</v>
      </c>
      <c r="L297" s="5">
        <f t="shared" si="93"/>
        <v>0.5</v>
      </c>
      <c r="M297" s="80">
        <f t="shared" si="90"/>
        <v>-2.3568390213009716E-2</v>
      </c>
      <c r="N297" s="80">
        <f t="shared" si="94"/>
        <v>0.36464311358790918</v>
      </c>
      <c r="O297" s="6">
        <f t="shared" si="95"/>
        <v>0</v>
      </c>
      <c r="P297" s="6">
        <f t="shared" si="96"/>
        <v>0</v>
      </c>
      <c r="Q297" s="6">
        <f t="shared" si="97"/>
        <v>0</v>
      </c>
      <c r="R297" s="6">
        <f t="shared" si="98"/>
        <v>0</v>
      </c>
      <c r="S297" s="6">
        <f t="shared" si="99"/>
        <v>0.48780487804878048</v>
      </c>
      <c r="T297" s="83">
        <f t="shared" si="100"/>
        <v>-1.1373268261790193E-2</v>
      </c>
      <c r="W297" s="80"/>
      <c r="X297" s="81">
        <f t="shared" si="91"/>
        <v>0.61464311358790913</v>
      </c>
      <c r="Y297">
        <f t="shared" si="101"/>
        <v>0.73060478228946724</v>
      </c>
      <c r="Z297" s="81">
        <f t="shared" si="102"/>
        <v>40.394228040143275</v>
      </c>
    </row>
    <row r="298" spans="1:26" hidden="1" x14ac:dyDescent="0.35">
      <c r="A298" s="36">
        <v>0.6</v>
      </c>
      <c r="B298" s="36">
        <v>0.2</v>
      </c>
      <c r="C298" s="5">
        <f t="shared" si="103"/>
        <v>20</v>
      </c>
      <c r="D298" s="81">
        <v>100</v>
      </c>
      <c r="E298" s="5">
        <f t="shared" si="104"/>
        <v>120</v>
      </c>
      <c r="F298" s="5">
        <f t="shared" si="105"/>
        <v>20</v>
      </c>
      <c r="G298" s="8">
        <f t="shared" si="106"/>
        <v>0.23936536824085961</v>
      </c>
      <c r="H298" s="5">
        <f t="shared" si="107"/>
        <v>23.936536824085959</v>
      </c>
      <c r="I298" s="80">
        <f t="shared" si="92"/>
        <v>17.089805187645055</v>
      </c>
      <c r="J298" s="80">
        <f t="shared" si="108"/>
        <v>0.7139631481881108</v>
      </c>
      <c r="K298" s="81">
        <f t="shared" si="109"/>
        <v>0.59360580091033877</v>
      </c>
      <c r="L298" s="5">
        <f t="shared" si="93"/>
        <v>0.6</v>
      </c>
      <c r="M298" s="80">
        <f t="shared" si="90"/>
        <v>-6.3941990896612122E-3</v>
      </c>
      <c r="N298" s="80">
        <f t="shared" si="94"/>
        <v>0.30386926132325764</v>
      </c>
      <c r="O298" s="6">
        <f t="shared" si="95"/>
        <v>0</v>
      </c>
      <c r="P298" s="6">
        <f t="shared" si="96"/>
        <v>0</v>
      </c>
      <c r="Q298" s="6">
        <f t="shared" si="97"/>
        <v>0</v>
      </c>
      <c r="R298" s="6">
        <f t="shared" si="98"/>
        <v>0</v>
      </c>
      <c r="S298" s="6">
        <f t="shared" si="99"/>
        <v>0.58243902439024386</v>
      </c>
      <c r="T298" s="83">
        <f t="shared" si="100"/>
        <v>1.1166776520094901E-2</v>
      </c>
      <c r="W298" s="80"/>
      <c r="X298" s="81">
        <f t="shared" si="91"/>
        <v>0.60386926132325769</v>
      </c>
      <c r="Y298">
        <f t="shared" si="101"/>
        <v>0.72703471663384378</v>
      </c>
      <c r="Z298" s="81">
        <f t="shared" si="102"/>
        <v>40.394228040143275</v>
      </c>
    </row>
    <row r="299" spans="1:26" hidden="1" x14ac:dyDescent="0.35">
      <c r="A299" s="36">
        <v>0.01</v>
      </c>
      <c r="B299" s="36">
        <v>0.25</v>
      </c>
      <c r="C299" s="5">
        <f t="shared" ref="C299:C312" si="110">D299*B299</f>
        <v>25</v>
      </c>
      <c r="D299" s="82">
        <v>100</v>
      </c>
      <c r="E299" s="5">
        <f t="shared" ref="E299:E312" si="111">D299+C299</f>
        <v>125</v>
      </c>
      <c r="F299" s="5">
        <f t="shared" ref="F299:F312" si="112">E299-D299</f>
        <v>25</v>
      </c>
      <c r="G299" s="8">
        <f t="shared" ref="G299:G312" si="113">1/SQRT(2*PI())*A299</f>
        <v>3.9894228040143268E-3</v>
      </c>
      <c r="H299" s="5">
        <f t="shared" ref="H299:H312" si="114">G299*D299</f>
        <v>0.39894228040143265</v>
      </c>
      <c r="I299" s="80">
        <f t="shared" si="92"/>
        <v>0</v>
      </c>
      <c r="J299" s="80">
        <f t="shared" ref="J299:J312" si="115">I299/H299</f>
        <v>0</v>
      </c>
      <c r="K299" s="82" t="e">
        <f t="shared" ref="K299:K312" si="116">-B299/LN(J299)</f>
        <v>#NUM!</v>
      </c>
      <c r="L299" s="5">
        <f t="shared" ref="L299:L312" si="117">A299</f>
        <v>0.01</v>
      </c>
      <c r="M299" s="80" t="e">
        <f t="shared" ref="M299:M312" si="118">K299-A299</f>
        <v>#NUM!</v>
      </c>
      <c r="N299" s="80">
        <f t="shared" ref="N299:N312" si="119">LN(1+B299)/A299</f>
        <v>22.314355131420974</v>
      </c>
      <c r="O299" s="6">
        <f t="shared" ref="O299:O312" si="120">IF($B$10=B299,1,0)</f>
        <v>0</v>
      </c>
      <c r="P299" s="6">
        <f t="shared" ref="P299:P312" si="121">O299*A299</f>
        <v>0</v>
      </c>
      <c r="Q299" s="6">
        <f t="shared" ref="Q299:Q312" si="122">IF(ISNUMBER(K299),O299*M299,0)</f>
        <v>0</v>
      </c>
      <c r="R299" s="6">
        <f t="shared" ref="R299:R312" si="123">IF(O299=0,0,$C$10*A299^2)</f>
        <v>0</v>
      </c>
      <c r="S299" s="6">
        <f t="shared" si="99"/>
        <v>9.996078431372549E-3</v>
      </c>
      <c r="T299" s="83" t="e">
        <f t="shared" si="100"/>
        <v>#NUM!</v>
      </c>
      <c r="W299" s="80"/>
      <c r="X299" s="82">
        <f t="shared" ref="X299:X312" si="124">N299+0.5*A299</f>
        <v>22.319355131420973</v>
      </c>
      <c r="Y299">
        <f t="shared" ref="Y299:Y312" si="125">NORMDIST(X299,0,1,TRUE)</f>
        <v>1</v>
      </c>
      <c r="Z299" s="82">
        <f t="shared" ref="Z299:Z312" si="126">0.5+D286/(SQRT(2*PI()))</f>
        <v>40.394228040143275</v>
      </c>
    </row>
    <row r="300" spans="1:26" hidden="1" x14ac:dyDescent="0.35">
      <c r="A300" s="36">
        <v>0.02</v>
      </c>
      <c r="B300" s="36">
        <v>0.25</v>
      </c>
      <c r="C300" s="5">
        <f t="shared" si="110"/>
        <v>25</v>
      </c>
      <c r="D300" s="82">
        <v>100</v>
      </c>
      <c r="E300" s="5">
        <f t="shared" si="111"/>
        <v>125</v>
      </c>
      <c r="F300" s="5">
        <f t="shared" si="112"/>
        <v>25</v>
      </c>
      <c r="G300" s="8">
        <f t="shared" si="113"/>
        <v>7.9788456080286535E-3</v>
      </c>
      <c r="H300" s="5">
        <f t="shared" si="114"/>
        <v>0.79788456080286529</v>
      </c>
      <c r="I300" s="80">
        <f t="shared" si="92"/>
        <v>0</v>
      </c>
      <c r="J300" s="80">
        <f t="shared" si="115"/>
        <v>0</v>
      </c>
      <c r="K300" s="82" t="e">
        <f t="shared" si="116"/>
        <v>#NUM!</v>
      </c>
      <c r="L300" s="5">
        <f t="shared" si="117"/>
        <v>0.02</v>
      </c>
      <c r="M300" s="80" t="e">
        <f t="shared" si="118"/>
        <v>#NUM!</v>
      </c>
      <c r="N300" s="80">
        <f t="shared" si="119"/>
        <v>11.157177565710487</v>
      </c>
      <c r="O300" s="6">
        <f t="shared" si="120"/>
        <v>0</v>
      </c>
      <c r="P300" s="6">
        <f t="shared" si="121"/>
        <v>0</v>
      </c>
      <c r="Q300" s="6">
        <f t="shared" si="122"/>
        <v>0</v>
      </c>
      <c r="R300" s="6">
        <f t="shared" si="123"/>
        <v>0</v>
      </c>
      <c r="S300" s="6">
        <f t="shared" si="99"/>
        <v>1.9984313725490196E-2</v>
      </c>
      <c r="T300" s="83" t="e">
        <f t="shared" si="100"/>
        <v>#NUM!</v>
      </c>
      <c r="W300" s="80"/>
      <c r="X300" s="82">
        <f t="shared" si="124"/>
        <v>11.167177565710487</v>
      </c>
      <c r="Y300">
        <f t="shared" si="125"/>
        <v>1</v>
      </c>
      <c r="Z300" s="82">
        <f t="shared" si="126"/>
        <v>40.394228040143275</v>
      </c>
    </row>
    <row r="301" spans="1:26" hidden="1" x14ac:dyDescent="0.35">
      <c r="A301" s="36">
        <v>0.05</v>
      </c>
      <c r="B301" s="36">
        <v>0.25</v>
      </c>
      <c r="C301" s="5">
        <f t="shared" si="110"/>
        <v>25</v>
      </c>
      <c r="D301" s="82">
        <v>100</v>
      </c>
      <c r="E301" s="5">
        <f t="shared" si="111"/>
        <v>125</v>
      </c>
      <c r="F301" s="5">
        <f t="shared" si="112"/>
        <v>25</v>
      </c>
      <c r="G301" s="8">
        <f t="shared" si="113"/>
        <v>1.9947114020071637E-2</v>
      </c>
      <c r="H301" s="5">
        <f t="shared" si="114"/>
        <v>1.9947114020071637</v>
      </c>
      <c r="I301" s="80">
        <f t="shared" si="92"/>
        <v>4.6497914780729843E-6</v>
      </c>
      <c r="J301" s="80">
        <f t="shared" si="115"/>
        <v>2.3310597580152025E-6</v>
      </c>
      <c r="K301" s="82">
        <f t="shared" si="116"/>
        <v>1.9276458051391099E-2</v>
      </c>
      <c r="L301" s="5">
        <f t="shared" si="117"/>
        <v>0.05</v>
      </c>
      <c r="M301" s="80">
        <f t="shared" si="118"/>
        <v>-3.0723541948608903E-2</v>
      </c>
      <c r="N301" s="80">
        <f t="shared" si="119"/>
        <v>4.4628710262841951</v>
      </c>
      <c r="O301" s="6">
        <f t="shared" si="120"/>
        <v>0</v>
      </c>
      <c r="P301" s="6">
        <f t="shared" si="121"/>
        <v>0</v>
      </c>
      <c r="Q301" s="6">
        <f t="shared" si="122"/>
        <v>0</v>
      </c>
      <c r="R301" s="6">
        <f t="shared" si="123"/>
        <v>0</v>
      </c>
      <c r="S301" s="6">
        <f t="shared" si="99"/>
        <v>4.9901960784313727E-2</v>
      </c>
      <c r="T301" s="83">
        <f t="shared" si="100"/>
        <v>-3.0625502732922628E-2</v>
      </c>
      <c r="W301" s="80"/>
      <c r="X301" s="82">
        <f t="shared" si="124"/>
        <v>4.4878710262841954</v>
      </c>
      <c r="Y301">
        <f t="shared" si="125"/>
        <v>0.99999640307721815</v>
      </c>
      <c r="Z301" s="82">
        <f t="shared" si="126"/>
        <v>40.394228040143275</v>
      </c>
    </row>
    <row r="302" spans="1:26" hidden="1" x14ac:dyDescent="0.35">
      <c r="A302" s="36">
        <v>0.08</v>
      </c>
      <c r="B302" s="36">
        <v>0.25</v>
      </c>
      <c r="C302" s="5">
        <f t="shared" si="110"/>
        <v>25</v>
      </c>
      <c r="D302" s="82">
        <v>100</v>
      </c>
      <c r="E302" s="5">
        <f t="shared" si="111"/>
        <v>125</v>
      </c>
      <c r="F302" s="5">
        <f t="shared" si="112"/>
        <v>25</v>
      </c>
      <c r="G302" s="8">
        <f t="shared" si="113"/>
        <v>3.1915382432114614E-2</v>
      </c>
      <c r="H302" s="5">
        <f t="shared" si="114"/>
        <v>3.1915382432114612</v>
      </c>
      <c r="I302" s="80">
        <f t="shared" si="92"/>
        <v>7.0513157855316422E-3</v>
      </c>
      <c r="J302" s="80">
        <f t="shared" si="115"/>
        <v>2.20937844017069E-3</v>
      </c>
      <c r="K302" s="82">
        <f t="shared" si="116"/>
        <v>4.0882779892049061E-2</v>
      </c>
      <c r="L302" s="5">
        <f t="shared" si="117"/>
        <v>0.08</v>
      </c>
      <c r="M302" s="80">
        <f t="shared" si="118"/>
        <v>-3.9117220107950941E-2</v>
      </c>
      <c r="N302" s="80">
        <f t="shared" si="119"/>
        <v>2.7892943914276218</v>
      </c>
      <c r="O302" s="6">
        <f t="shared" si="120"/>
        <v>0</v>
      </c>
      <c r="P302" s="6">
        <f t="shared" si="121"/>
        <v>0</v>
      </c>
      <c r="Q302" s="6">
        <f t="shared" si="122"/>
        <v>0</v>
      </c>
      <c r="R302" s="6">
        <f t="shared" si="123"/>
        <v>0</v>
      </c>
      <c r="S302" s="6">
        <f t="shared" si="99"/>
        <v>7.9749019607843141E-2</v>
      </c>
      <c r="T302" s="83">
        <f t="shared" si="100"/>
        <v>-3.8866239715794081E-2</v>
      </c>
      <c r="W302" s="80"/>
      <c r="X302" s="82">
        <f t="shared" si="124"/>
        <v>2.8292943914276218</v>
      </c>
      <c r="Y302">
        <f t="shared" si="125"/>
        <v>0.99766746175863286</v>
      </c>
      <c r="Z302" s="82">
        <f t="shared" si="126"/>
        <v>40.394228040143275</v>
      </c>
    </row>
    <row r="303" spans="1:26" hidden="1" x14ac:dyDescent="0.35">
      <c r="A303" s="36">
        <v>0.1</v>
      </c>
      <c r="B303" s="36">
        <v>0.25</v>
      </c>
      <c r="C303" s="5">
        <f t="shared" si="110"/>
        <v>25</v>
      </c>
      <c r="D303" s="82">
        <v>100</v>
      </c>
      <c r="E303" s="5">
        <f t="shared" si="111"/>
        <v>125</v>
      </c>
      <c r="F303" s="5">
        <f t="shared" si="112"/>
        <v>25</v>
      </c>
      <c r="G303" s="8">
        <f t="shared" si="113"/>
        <v>3.9894228040143274E-2</v>
      </c>
      <c r="H303" s="5">
        <f t="shared" si="114"/>
        <v>3.9894228040143274</v>
      </c>
      <c r="I303" s="80">
        <f t="shared" si="92"/>
        <v>4.9892929277305598E-2</v>
      </c>
      <c r="J303" s="80">
        <f t="shared" si="115"/>
        <v>1.2506302723065904E-2</v>
      </c>
      <c r="K303" s="82">
        <f t="shared" si="116"/>
        <v>5.7057791554180323E-2</v>
      </c>
      <c r="L303" s="5">
        <f t="shared" si="117"/>
        <v>0.1</v>
      </c>
      <c r="M303" s="80">
        <f t="shared" si="118"/>
        <v>-4.2942208445819682E-2</v>
      </c>
      <c r="N303" s="80">
        <f t="shared" si="119"/>
        <v>2.2314355131420975</v>
      </c>
      <c r="O303" s="6">
        <f t="shared" si="120"/>
        <v>0</v>
      </c>
      <c r="P303" s="6">
        <f t="shared" si="121"/>
        <v>0</v>
      </c>
      <c r="Q303" s="6">
        <f t="shared" si="122"/>
        <v>0</v>
      </c>
      <c r="R303" s="6">
        <f t="shared" si="123"/>
        <v>0</v>
      </c>
      <c r="S303" s="6">
        <f t="shared" si="99"/>
        <v>9.9607843137254903E-2</v>
      </c>
      <c r="T303" s="83">
        <f t="shared" si="100"/>
        <v>-4.255005158307458E-2</v>
      </c>
      <c r="W303" s="80"/>
      <c r="X303" s="82">
        <f t="shared" si="124"/>
        <v>2.2814355131420974</v>
      </c>
      <c r="Y303">
        <f t="shared" si="125"/>
        <v>0.98873865570465225</v>
      </c>
      <c r="Z303" s="82">
        <f t="shared" si="126"/>
        <v>40.394228040143275</v>
      </c>
    </row>
    <row r="304" spans="1:26" hidden="1" x14ac:dyDescent="0.35">
      <c r="A304" s="36">
        <v>0.12</v>
      </c>
      <c r="B304" s="36">
        <v>0.25</v>
      </c>
      <c r="C304" s="5">
        <f t="shared" si="110"/>
        <v>25</v>
      </c>
      <c r="D304" s="82">
        <v>100</v>
      </c>
      <c r="E304" s="5">
        <f t="shared" si="111"/>
        <v>125</v>
      </c>
      <c r="F304" s="5">
        <f t="shared" si="112"/>
        <v>25</v>
      </c>
      <c r="G304" s="8">
        <f t="shared" si="113"/>
        <v>4.7873073648171921E-2</v>
      </c>
      <c r="H304" s="5">
        <f t="shared" si="114"/>
        <v>4.7873073648171918</v>
      </c>
      <c r="I304" s="80">
        <f t="shared" si="92"/>
        <v>0.1644133031618793</v>
      </c>
      <c r="J304" s="80">
        <f t="shared" si="115"/>
        <v>3.4343586202587095E-2</v>
      </c>
      <c r="K304" s="82">
        <f t="shared" si="116"/>
        <v>7.4154490571009354E-2</v>
      </c>
      <c r="L304" s="5">
        <f t="shared" si="117"/>
        <v>0.12</v>
      </c>
      <c r="M304" s="80">
        <f t="shared" si="118"/>
        <v>-4.5845509428990641E-2</v>
      </c>
      <c r="N304" s="80">
        <f t="shared" si="119"/>
        <v>1.8595295942850814</v>
      </c>
      <c r="O304" s="6">
        <f t="shared" si="120"/>
        <v>0</v>
      </c>
      <c r="P304" s="6">
        <f t="shared" si="121"/>
        <v>0</v>
      </c>
      <c r="Q304" s="6">
        <f t="shared" si="122"/>
        <v>0</v>
      </c>
      <c r="R304" s="6">
        <f t="shared" si="123"/>
        <v>0</v>
      </c>
      <c r="S304" s="6">
        <f t="shared" si="99"/>
        <v>0.11943529411764706</v>
      </c>
      <c r="T304" s="83">
        <f t="shared" si="100"/>
        <v>-4.5280803546637702E-2</v>
      </c>
      <c r="W304" s="80"/>
      <c r="X304" s="82">
        <f t="shared" si="124"/>
        <v>1.9195295942850814</v>
      </c>
      <c r="Y304">
        <f t="shared" si="125"/>
        <v>0.97254132766942014</v>
      </c>
      <c r="Z304" s="82">
        <f t="shared" si="126"/>
        <v>40.394228040143275</v>
      </c>
    </row>
    <row r="305" spans="1:26" hidden="1" x14ac:dyDescent="0.35">
      <c r="A305" s="36">
        <v>0.15</v>
      </c>
      <c r="B305" s="36">
        <v>0.25</v>
      </c>
      <c r="C305" s="5">
        <f t="shared" si="110"/>
        <v>25</v>
      </c>
      <c r="D305" s="82">
        <v>100</v>
      </c>
      <c r="E305" s="5">
        <f t="shared" si="111"/>
        <v>125</v>
      </c>
      <c r="F305" s="5">
        <f t="shared" si="112"/>
        <v>25</v>
      </c>
      <c r="G305" s="8">
        <f t="shared" si="113"/>
        <v>5.9841342060214901E-2</v>
      </c>
      <c r="H305" s="5">
        <f t="shared" si="114"/>
        <v>5.9841342060214897</v>
      </c>
      <c r="I305" s="80">
        <f t="shared" si="92"/>
        <v>0.50449918480796896</v>
      </c>
      <c r="J305" s="80">
        <f t="shared" si="115"/>
        <v>8.4306128077863043E-2</v>
      </c>
      <c r="K305" s="82">
        <f t="shared" si="116"/>
        <v>0.10107949982885941</v>
      </c>
      <c r="L305" s="5">
        <f t="shared" si="117"/>
        <v>0.15</v>
      </c>
      <c r="M305" s="80">
        <f t="shared" si="118"/>
        <v>-4.892050017114058E-2</v>
      </c>
      <c r="N305" s="80">
        <f t="shared" si="119"/>
        <v>1.4876236754280652</v>
      </c>
      <c r="O305" s="6">
        <f t="shared" si="120"/>
        <v>0</v>
      </c>
      <c r="P305" s="6">
        <f t="shared" si="121"/>
        <v>0</v>
      </c>
      <c r="Q305" s="6">
        <f t="shared" si="122"/>
        <v>0</v>
      </c>
      <c r="R305" s="6">
        <f t="shared" si="123"/>
        <v>0</v>
      </c>
      <c r="S305" s="6">
        <f t="shared" si="99"/>
        <v>0.14911764705882352</v>
      </c>
      <c r="T305" s="83">
        <f t="shared" si="100"/>
        <v>-4.8038147229964107E-2</v>
      </c>
      <c r="W305" s="80"/>
      <c r="X305" s="82">
        <f t="shared" si="124"/>
        <v>1.5626236754280651</v>
      </c>
      <c r="Y305">
        <f t="shared" si="125"/>
        <v>0.94092943188918754</v>
      </c>
      <c r="Z305" s="82">
        <f t="shared" si="126"/>
        <v>40.394228040143275</v>
      </c>
    </row>
    <row r="306" spans="1:26" hidden="1" x14ac:dyDescent="0.35">
      <c r="A306" s="36">
        <v>0.2</v>
      </c>
      <c r="B306" s="36">
        <v>0.25</v>
      </c>
      <c r="C306" s="5">
        <f t="shared" si="110"/>
        <v>25</v>
      </c>
      <c r="D306" s="82">
        <v>100</v>
      </c>
      <c r="E306" s="5">
        <f t="shared" si="111"/>
        <v>125</v>
      </c>
      <c r="F306" s="5">
        <f t="shared" si="112"/>
        <v>25</v>
      </c>
      <c r="G306" s="8">
        <f t="shared" si="113"/>
        <v>7.9788456080286549E-2</v>
      </c>
      <c r="H306" s="5">
        <f t="shared" si="114"/>
        <v>7.9788456080286547</v>
      </c>
      <c r="I306" s="80">
        <f t="shared" si="92"/>
        <v>1.4824118915130384</v>
      </c>
      <c r="J306" s="80">
        <f t="shared" si="115"/>
        <v>0.18579277809579026</v>
      </c>
      <c r="K306" s="82">
        <f t="shared" si="116"/>
        <v>0.14853338233980465</v>
      </c>
      <c r="L306" s="5">
        <f t="shared" si="117"/>
        <v>0.2</v>
      </c>
      <c r="M306" s="80">
        <f t="shared" si="118"/>
        <v>-5.1466617660195363E-2</v>
      </c>
      <c r="N306" s="80">
        <f t="shared" si="119"/>
        <v>1.1157177565710488</v>
      </c>
      <c r="O306" s="6">
        <f t="shared" si="120"/>
        <v>0</v>
      </c>
      <c r="P306" s="6">
        <f t="shared" si="121"/>
        <v>0</v>
      </c>
      <c r="Q306" s="6">
        <f t="shared" si="122"/>
        <v>0</v>
      </c>
      <c r="R306" s="6">
        <f t="shared" si="123"/>
        <v>0</v>
      </c>
      <c r="S306" s="6">
        <f t="shared" si="99"/>
        <v>0.19843137254901963</v>
      </c>
      <c r="T306" s="83">
        <f t="shared" si="100"/>
        <v>-4.9897990209214982E-2</v>
      </c>
      <c r="W306" s="80"/>
      <c r="X306" s="82">
        <f t="shared" si="124"/>
        <v>1.2157177565710489</v>
      </c>
      <c r="Y306">
        <f t="shared" si="125"/>
        <v>0.88795377118361485</v>
      </c>
      <c r="Z306" s="82">
        <f t="shared" si="126"/>
        <v>40.394228040143275</v>
      </c>
    </row>
    <row r="307" spans="1:26" hidden="1" x14ac:dyDescent="0.35">
      <c r="A307" s="36">
        <v>0.25</v>
      </c>
      <c r="B307" s="36">
        <v>0.25</v>
      </c>
      <c r="C307" s="5">
        <f t="shared" si="110"/>
        <v>25</v>
      </c>
      <c r="D307" s="82">
        <v>100</v>
      </c>
      <c r="E307" s="5">
        <f t="shared" si="111"/>
        <v>125</v>
      </c>
      <c r="F307" s="5">
        <f t="shared" si="112"/>
        <v>25</v>
      </c>
      <c r="G307" s="8">
        <f t="shared" si="113"/>
        <v>9.9735570100358176E-2</v>
      </c>
      <c r="H307" s="5">
        <f t="shared" si="114"/>
        <v>9.9735570100358171</v>
      </c>
      <c r="I307" s="80">
        <f t="shared" si="92"/>
        <v>2.8319876631647958</v>
      </c>
      <c r="J307" s="80">
        <f t="shared" si="115"/>
        <v>0.28394961399580204</v>
      </c>
      <c r="K307" s="82">
        <f t="shared" si="116"/>
        <v>0.19857684391226293</v>
      </c>
      <c r="L307" s="5">
        <f t="shared" si="117"/>
        <v>0.25</v>
      </c>
      <c r="M307" s="80">
        <f t="shared" si="118"/>
        <v>-5.1423156087737065E-2</v>
      </c>
      <c r="N307" s="80">
        <f t="shared" si="119"/>
        <v>0.89257420525683906</v>
      </c>
      <c r="O307" s="6">
        <f t="shared" si="120"/>
        <v>0</v>
      </c>
      <c r="P307" s="6">
        <f t="shared" si="121"/>
        <v>0</v>
      </c>
      <c r="Q307" s="6">
        <f t="shared" si="122"/>
        <v>0</v>
      </c>
      <c r="R307" s="6">
        <f t="shared" si="123"/>
        <v>0</v>
      </c>
      <c r="S307" s="6">
        <f t="shared" si="99"/>
        <v>0.24754901960784315</v>
      </c>
      <c r="T307" s="83">
        <f t="shared" si="100"/>
        <v>-4.8972175695580211E-2</v>
      </c>
      <c r="W307" s="80"/>
      <c r="X307" s="82">
        <f t="shared" si="124"/>
        <v>1.0175742052568391</v>
      </c>
      <c r="Y307">
        <f t="shared" si="125"/>
        <v>0.84555982450940004</v>
      </c>
      <c r="Z307" s="82">
        <f t="shared" si="126"/>
        <v>40.394228040143275</v>
      </c>
    </row>
    <row r="308" spans="1:26" hidden="1" x14ac:dyDescent="0.35">
      <c r="A308" s="36">
        <v>0.3</v>
      </c>
      <c r="B308" s="36">
        <v>0.25</v>
      </c>
      <c r="C308" s="5">
        <f t="shared" si="110"/>
        <v>25</v>
      </c>
      <c r="D308" s="82">
        <v>100</v>
      </c>
      <c r="E308" s="5">
        <f t="shared" si="111"/>
        <v>125</v>
      </c>
      <c r="F308" s="5">
        <f t="shared" si="112"/>
        <v>25</v>
      </c>
      <c r="G308" s="8">
        <f t="shared" si="113"/>
        <v>0.1196826841204298</v>
      </c>
      <c r="H308" s="5">
        <f t="shared" si="114"/>
        <v>11.968268412042979</v>
      </c>
      <c r="I308" s="80">
        <f t="shared" si="92"/>
        <v>4.4179876289671967</v>
      </c>
      <c r="J308" s="80">
        <f t="shared" si="115"/>
        <v>0.36914175692463835</v>
      </c>
      <c r="K308" s="82">
        <f t="shared" si="116"/>
        <v>0.25085930761910002</v>
      </c>
      <c r="L308" s="5">
        <f t="shared" si="117"/>
        <v>0.3</v>
      </c>
      <c r="M308" s="80">
        <f t="shared" si="118"/>
        <v>-4.9140692380899964E-2</v>
      </c>
      <c r="N308" s="80">
        <f t="shared" si="119"/>
        <v>0.74381183771403259</v>
      </c>
      <c r="O308" s="6">
        <f t="shared" si="120"/>
        <v>0</v>
      </c>
      <c r="P308" s="6">
        <f t="shared" si="121"/>
        <v>0</v>
      </c>
      <c r="Q308" s="6">
        <f t="shared" si="122"/>
        <v>0</v>
      </c>
      <c r="R308" s="6">
        <f t="shared" si="123"/>
        <v>0</v>
      </c>
      <c r="S308" s="6">
        <f t="shared" si="99"/>
        <v>0.2964705882352941</v>
      </c>
      <c r="T308" s="83">
        <f t="shared" si="100"/>
        <v>-4.5611280616194072E-2</v>
      </c>
      <c r="W308" s="80"/>
      <c r="X308" s="82">
        <f t="shared" si="124"/>
        <v>0.89381183771403261</v>
      </c>
      <c r="Y308">
        <f t="shared" si="125"/>
        <v>0.81428871279039305</v>
      </c>
      <c r="Z308" s="82">
        <f t="shared" si="126"/>
        <v>40.394228040143275</v>
      </c>
    </row>
    <row r="309" spans="1:26" hidden="1" x14ac:dyDescent="0.35">
      <c r="A309" s="36">
        <v>0.35</v>
      </c>
      <c r="B309" s="36">
        <v>0.25</v>
      </c>
      <c r="C309" s="5">
        <f t="shared" si="110"/>
        <v>25</v>
      </c>
      <c r="D309" s="82">
        <v>100</v>
      </c>
      <c r="E309" s="5">
        <f t="shared" si="111"/>
        <v>125</v>
      </c>
      <c r="F309" s="5">
        <f t="shared" si="112"/>
        <v>25</v>
      </c>
      <c r="G309" s="8">
        <f t="shared" si="113"/>
        <v>0.13962979814050144</v>
      </c>
      <c r="H309" s="5">
        <f t="shared" si="114"/>
        <v>13.962979814050144</v>
      </c>
      <c r="I309" s="80">
        <f t="shared" si="92"/>
        <v>6.1545909729760666</v>
      </c>
      <c r="J309" s="80">
        <f t="shared" si="115"/>
        <v>0.44077919290430084</v>
      </c>
      <c r="K309" s="82">
        <f t="shared" si="116"/>
        <v>0.3051715995617636</v>
      </c>
      <c r="L309" s="5">
        <f t="shared" si="117"/>
        <v>0.35</v>
      </c>
      <c r="M309" s="80">
        <f t="shared" si="118"/>
        <v>-4.4828400438236382E-2</v>
      </c>
      <c r="N309" s="80">
        <f t="shared" si="119"/>
        <v>0.63755300375488511</v>
      </c>
      <c r="O309" s="6">
        <f t="shared" si="120"/>
        <v>0</v>
      </c>
      <c r="P309" s="6">
        <f t="shared" si="121"/>
        <v>0</v>
      </c>
      <c r="Q309" s="6">
        <f t="shared" si="122"/>
        <v>0</v>
      </c>
      <c r="R309" s="6">
        <f t="shared" si="123"/>
        <v>0</v>
      </c>
      <c r="S309" s="6">
        <f t="shared" si="99"/>
        <v>0.34519607843137251</v>
      </c>
      <c r="T309" s="83">
        <f t="shared" si="100"/>
        <v>-4.0024478869608915E-2</v>
      </c>
      <c r="W309" s="80"/>
      <c r="X309" s="82">
        <f t="shared" si="124"/>
        <v>0.81255300375488515</v>
      </c>
      <c r="Y309">
        <f t="shared" si="125"/>
        <v>0.79176280715480585</v>
      </c>
      <c r="Z309" s="82">
        <f t="shared" si="126"/>
        <v>40.394228040143275</v>
      </c>
    </row>
    <row r="310" spans="1:26" hidden="1" x14ac:dyDescent="0.35">
      <c r="A310" s="36">
        <v>0.4</v>
      </c>
      <c r="B310" s="36">
        <v>0.25</v>
      </c>
      <c r="C310" s="5">
        <f t="shared" si="110"/>
        <v>25</v>
      </c>
      <c r="D310" s="82">
        <v>100</v>
      </c>
      <c r="E310" s="5">
        <f t="shared" si="111"/>
        <v>125</v>
      </c>
      <c r="F310" s="5">
        <f t="shared" si="112"/>
        <v>25</v>
      </c>
      <c r="G310" s="8">
        <f t="shared" si="113"/>
        <v>0.1595769121605731</v>
      </c>
      <c r="H310" s="5">
        <f t="shared" si="114"/>
        <v>15.957691216057309</v>
      </c>
      <c r="I310" s="80">
        <f t="shared" si="92"/>
        <v>7.9889794056430361</v>
      </c>
      <c r="J310" s="80">
        <f t="shared" si="115"/>
        <v>0.5006350415907399</v>
      </c>
      <c r="K310" s="82">
        <f t="shared" si="116"/>
        <v>0.36133543046395655</v>
      </c>
      <c r="L310" s="5">
        <f t="shared" si="117"/>
        <v>0.4</v>
      </c>
      <c r="M310" s="80">
        <f t="shared" si="118"/>
        <v>-3.8664569536043469E-2</v>
      </c>
      <c r="N310" s="80">
        <f t="shared" si="119"/>
        <v>0.55785887828552438</v>
      </c>
      <c r="O310" s="6">
        <f t="shared" si="120"/>
        <v>0</v>
      </c>
      <c r="P310" s="6">
        <f t="shared" si="121"/>
        <v>0</v>
      </c>
      <c r="Q310" s="6">
        <f t="shared" si="122"/>
        <v>0</v>
      </c>
      <c r="R310" s="6">
        <f t="shared" si="123"/>
        <v>0</v>
      </c>
      <c r="S310" s="6">
        <f t="shared" si="99"/>
        <v>0.39372549019607844</v>
      </c>
      <c r="T310" s="83">
        <f t="shared" si="100"/>
        <v>-3.239005973212189E-2</v>
      </c>
      <c r="W310" s="80"/>
      <c r="X310" s="82">
        <f t="shared" si="124"/>
        <v>0.75785887828552445</v>
      </c>
      <c r="Y310">
        <f t="shared" si="125"/>
        <v>0.77573226491404856</v>
      </c>
      <c r="Z310" s="82">
        <f t="shared" si="126"/>
        <v>40.394228040143275</v>
      </c>
    </row>
    <row r="311" spans="1:26" hidden="1" x14ac:dyDescent="0.35">
      <c r="A311" s="36">
        <v>0.5</v>
      </c>
      <c r="B311" s="36">
        <v>0.25</v>
      </c>
      <c r="C311" s="5">
        <f t="shared" si="110"/>
        <v>25</v>
      </c>
      <c r="D311" s="82">
        <v>100</v>
      </c>
      <c r="E311" s="5">
        <f t="shared" si="111"/>
        <v>125</v>
      </c>
      <c r="F311" s="5">
        <f t="shared" si="112"/>
        <v>25</v>
      </c>
      <c r="G311" s="8">
        <f t="shared" si="113"/>
        <v>0.19947114020071635</v>
      </c>
      <c r="H311" s="5">
        <f t="shared" si="114"/>
        <v>19.947114020071634</v>
      </c>
      <c r="I311" s="80">
        <f t="shared" si="92"/>
        <v>11.828707247063228</v>
      </c>
      <c r="J311" s="80">
        <f t="shared" si="115"/>
        <v>0.59300344075642619</v>
      </c>
      <c r="K311" s="82">
        <f t="shared" si="116"/>
        <v>0.47841846852534131</v>
      </c>
      <c r="L311" s="5">
        <f t="shared" si="117"/>
        <v>0.5</v>
      </c>
      <c r="M311" s="80">
        <f t="shared" si="118"/>
        <v>-2.1581531474658688E-2</v>
      </c>
      <c r="N311" s="80">
        <f t="shared" si="119"/>
        <v>0.44628710262841953</v>
      </c>
      <c r="O311" s="6">
        <f t="shared" si="120"/>
        <v>0</v>
      </c>
      <c r="P311" s="6">
        <f t="shared" si="121"/>
        <v>0</v>
      </c>
      <c r="Q311" s="6">
        <f t="shared" si="122"/>
        <v>0</v>
      </c>
      <c r="R311" s="6">
        <f t="shared" si="123"/>
        <v>0</v>
      </c>
      <c r="S311" s="6">
        <f t="shared" si="99"/>
        <v>0.49019607843137253</v>
      </c>
      <c r="T311" s="83">
        <f t="shared" si="100"/>
        <v>-1.1777609906031217E-2</v>
      </c>
      <c r="W311" s="80"/>
      <c r="X311" s="82">
        <f t="shared" si="124"/>
        <v>0.69628710262841953</v>
      </c>
      <c r="Y311">
        <f t="shared" si="125"/>
        <v>0.75687547571783509</v>
      </c>
      <c r="Z311" s="82">
        <f t="shared" si="126"/>
        <v>40.394228040143275</v>
      </c>
    </row>
    <row r="312" spans="1:26" hidden="1" x14ac:dyDescent="0.35">
      <c r="A312" s="36">
        <v>0.6</v>
      </c>
      <c r="B312" s="36">
        <v>0.25</v>
      </c>
      <c r="C312" s="5">
        <f t="shared" si="110"/>
        <v>25</v>
      </c>
      <c r="D312" s="82">
        <v>100</v>
      </c>
      <c r="E312" s="5">
        <f t="shared" si="111"/>
        <v>125</v>
      </c>
      <c r="F312" s="5">
        <f t="shared" si="112"/>
        <v>25</v>
      </c>
      <c r="G312" s="8">
        <f t="shared" si="113"/>
        <v>0.23936536824085961</v>
      </c>
      <c r="H312" s="5">
        <f t="shared" si="114"/>
        <v>23.936536824085959</v>
      </c>
      <c r="I312" s="80">
        <f t="shared" si="92"/>
        <v>15.781114478298932</v>
      </c>
      <c r="J312" s="80">
        <f t="shared" si="115"/>
        <v>0.65928979594154591</v>
      </c>
      <c r="K312" s="82">
        <f t="shared" si="116"/>
        <v>0.60010740949150265</v>
      </c>
      <c r="L312" s="5">
        <f t="shared" si="117"/>
        <v>0.6</v>
      </c>
      <c r="M312" s="80">
        <f t="shared" si="118"/>
        <v>1.0740949150267465E-4</v>
      </c>
      <c r="N312" s="80">
        <f t="shared" si="119"/>
        <v>0.37190591885701629</v>
      </c>
      <c r="O312" s="6">
        <f t="shared" si="120"/>
        <v>0</v>
      </c>
      <c r="P312" s="6">
        <f t="shared" si="121"/>
        <v>0</v>
      </c>
      <c r="Q312" s="6">
        <f t="shared" si="122"/>
        <v>0</v>
      </c>
      <c r="R312" s="6">
        <f t="shared" si="123"/>
        <v>0</v>
      </c>
      <c r="S312" s="6">
        <f t="shared" si="99"/>
        <v>0.58588235294117641</v>
      </c>
      <c r="T312" s="83">
        <f t="shared" si="100"/>
        <v>1.4225056550326243E-2</v>
      </c>
      <c r="W312" s="80"/>
      <c r="X312" s="82">
        <f t="shared" si="124"/>
        <v>0.67190591885701623</v>
      </c>
      <c r="Y312">
        <f t="shared" si="125"/>
        <v>0.74917820395486512</v>
      </c>
      <c r="Z312" s="82">
        <f t="shared" si="126"/>
        <v>40.394228040143275</v>
      </c>
    </row>
    <row r="313" spans="1:26" x14ac:dyDescent="0.35">
      <c r="B313" s="82"/>
      <c r="K313" s="82"/>
      <c r="L313" s="82"/>
      <c r="N313" s="82"/>
      <c r="W313" s="82"/>
      <c r="X313" s="82"/>
      <c r="Z313" s="82"/>
    </row>
    <row r="314" spans="1:26" x14ac:dyDescent="0.35">
      <c r="B314" s="82"/>
      <c r="K314" s="82"/>
      <c r="L314" s="82"/>
      <c r="N314" s="82"/>
      <c r="W314" s="82"/>
      <c r="X314" s="82"/>
      <c r="Z314" s="82"/>
    </row>
    <row r="315" spans="1:26" x14ac:dyDescent="0.35">
      <c r="B315" s="82"/>
      <c r="K315" s="82"/>
      <c r="L315" s="82"/>
      <c r="N315" s="82"/>
      <c r="W315" s="82"/>
      <c r="X315" s="82"/>
      <c r="Z315" s="82"/>
    </row>
    <row r="316" spans="1:26" x14ac:dyDescent="0.35">
      <c r="B316" s="82"/>
      <c r="K316" s="82"/>
      <c r="L316" s="82"/>
      <c r="N316" s="82"/>
      <c r="W316" s="82"/>
      <c r="X316" s="82"/>
      <c r="Z316" s="82"/>
    </row>
    <row r="317" spans="1:26" x14ac:dyDescent="0.35">
      <c r="B317" s="82"/>
      <c r="K317" s="82"/>
      <c r="L317" s="82"/>
      <c r="N317" s="82"/>
      <c r="W317" s="82"/>
      <c r="X317" s="82"/>
      <c r="Z317" s="82"/>
    </row>
    <row r="318" spans="1:26" x14ac:dyDescent="0.35">
      <c r="B318" s="82"/>
      <c r="K318" s="82"/>
      <c r="L318" s="82"/>
      <c r="N318" s="82"/>
      <c r="W318" s="82"/>
      <c r="X318" s="82"/>
      <c r="Z318" s="82"/>
    </row>
    <row r="319" spans="1:26" x14ac:dyDescent="0.35">
      <c r="B319" s="82"/>
      <c r="K319" s="82"/>
      <c r="L319" s="82"/>
      <c r="N319" s="82"/>
      <c r="W319" s="82"/>
      <c r="X319" s="82"/>
      <c r="Z319" s="82"/>
    </row>
    <row r="320" spans="1:26" x14ac:dyDescent="0.35">
      <c r="B320" s="82"/>
      <c r="K320" s="82"/>
      <c r="L320" s="82"/>
      <c r="N320" s="82"/>
      <c r="W320" s="82"/>
      <c r="X320" s="82"/>
      <c r="Z320" s="82"/>
    </row>
    <row r="321" spans="2:26" x14ac:dyDescent="0.35">
      <c r="B321" s="82"/>
      <c r="K321" s="82"/>
      <c r="L321" s="82"/>
      <c r="N321" s="82"/>
      <c r="W321" s="82"/>
      <c r="X321" s="82"/>
      <c r="Z321" s="82"/>
    </row>
    <row r="322" spans="2:26" x14ac:dyDescent="0.35">
      <c r="B322" s="82"/>
      <c r="K322" s="82"/>
      <c r="L322" s="82"/>
      <c r="N322" s="82"/>
      <c r="W322" s="82"/>
      <c r="X322" s="82"/>
      <c r="Z322" s="82"/>
    </row>
    <row r="323" spans="2:26" x14ac:dyDescent="0.35">
      <c r="B323" s="82"/>
      <c r="K323" s="82"/>
      <c r="L323" s="82"/>
      <c r="N323" s="82"/>
      <c r="W323" s="82"/>
      <c r="X323" s="82"/>
      <c r="Z323" s="82"/>
    </row>
    <row r="324" spans="2:26" x14ac:dyDescent="0.35">
      <c r="B324" s="82"/>
      <c r="K324" s="82"/>
      <c r="L324" s="82"/>
      <c r="N324" s="82"/>
      <c r="W324" s="82"/>
      <c r="X324" s="82"/>
      <c r="Z324" s="82"/>
    </row>
    <row r="325" spans="2:26" x14ac:dyDescent="0.35">
      <c r="B325" s="82"/>
      <c r="K325" s="82"/>
      <c r="L325" s="82"/>
      <c r="N325" s="82"/>
      <c r="W325" s="82"/>
      <c r="X325" s="82"/>
      <c r="Z325" s="82"/>
    </row>
    <row r="326" spans="2:26" x14ac:dyDescent="0.35">
      <c r="B326" s="82"/>
      <c r="K326" s="82"/>
      <c r="L326" s="82"/>
      <c r="N326" s="82"/>
      <c r="W326" s="82"/>
      <c r="X326" s="82"/>
      <c r="Z326" s="82"/>
    </row>
    <row r="327" spans="2:26" x14ac:dyDescent="0.35">
      <c r="B327" s="82"/>
      <c r="K327" s="82"/>
      <c r="L327" s="82"/>
      <c r="N327" s="82"/>
      <c r="W327" s="82"/>
      <c r="X327" s="82"/>
      <c r="Z327" s="82"/>
    </row>
    <row r="328" spans="2:26" x14ac:dyDescent="0.35">
      <c r="B328" s="82"/>
      <c r="K328" s="82"/>
      <c r="L328" s="82"/>
      <c r="N328" s="82"/>
      <c r="W328" s="82"/>
      <c r="X328" s="82"/>
      <c r="Z328" s="82"/>
    </row>
    <row r="329" spans="2:26" x14ac:dyDescent="0.35">
      <c r="B329" s="82"/>
      <c r="K329" s="82"/>
      <c r="L329" s="82"/>
      <c r="N329" s="82"/>
      <c r="W329" s="82"/>
      <c r="X329" s="82"/>
      <c r="Z329" s="82"/>
    </row>
    <row r="331" spans="2:26" x14ac:dyDescent="0.35">
      <c r="C331" s="28" t="s">
        <v>250</v>
      </c>
      <c r="E331" s="82" t="s">
        <v>256</v>
      </c>
      <c r="G331" t="s">
        <v>261</v>
      </c>
    </row>
    <row r="332" spans="2:26" x14ac:dyDescent="0.35">
      <c r="B332" s="82" t="s">
        <v>208</v>
      </c>
      <c r="C332" s="8" t="s">
        <v>251</v>
      </c>
      <c r="D332" s="82" t="s">
        <v>252</v>
      </c>
      <c r="E332" s="82" t="s">
        <v>257</v>
      </c>
      <c r="F332" s="82" t="str">
        <f>"-1/a2-0.5"</f>
        <v>-1/a2-0.5</v>
      </c>
      <c r="G332" s="82" t="s">
        <v>262</v>
      </c>
    </row>
    <row r="333" spans="2:26" x14ac:dyDescent="0.35">
      <c r="B333" s="8">
        <v>1E-3</v>
      </c>
      <c r="C333" s="83">
        <v>-0.14499999999999999</v>
      </c>
      <c r="D333" s="83">
        <v>-1.3206</v>
      </c>
      <c r="E333" s="82">
        <v>-1.6156620738165943</v>
      </c>
      <c r="F333">
        <f>-1/E333-0.5</f>
        <v>0.11894130969959094</v>
      </c>
      <c r="G333" s="80"/>
    </row>
    <row r="334" spans="2:26" x14ac:dyDescent="0.35">
      <c r="B334" s="8">
        <v>2E-3</v>
      </c>
      <c r="C334" s="83">
        <v>-1.14E-2</v>
      </c>
      <c r="D334" s="83">
        <v>-1.3689</v>
      </c>
      <c r="E334" s="82">
        <v>-1.3920304933170198</v>
      </c>
      <c r="F334">
        <f t="shared" ref="F334:F341" si="127">-1/E334-0.5</f>
        <v>0.21837506778830373</v>
      </c>
      <c r="G334" s="80"/>
    </row>
    <row r="335" spans="2:26" x14ac:dyDescent="0.35">
      <c r="B335" s="8">
        <v>3.0000000000000001E-3</v>
      </c>
      <c r="C335" s="83">
        <v>3.5999999999999997E-2</v>
      </c>
      <c r="D335" s="83">
        <v>-1.3081</v>
      </c>
      <c r="E335" s="82">
        <v>-1.2345962598624169</v>
      </c>
      <c r="F335">
        <f t="shared" si="127"/>
        <v>0.30998139433164951</v>
      </c>
      <c r="G335" s="80"/>
    </row>
    <row r="336" spans="2:26" x14ac:dyDescent="0.35">
      <c r="B336" s="8">
        <v>4.0000000000000001E-3</v>
      </c>
      <c r="C336" s="83">
        <v>5.2600000000000001E-2</v>
      </c>
      <c r="D336" s="83">
        <v>-1.2218</v>
      </c>
      <c r="E336" s="82">
        <v>-1.1143197364430337</v>
      </c>
      <c r="F336">
        <f t="shared" si="127"/>
        <v>0.39740849712673287</v>
      </c>
      <c r="G336" s="80"/>
    </row>
    <row r="337" spans="1:7" x14ac:dyDescent="0.35">
      <c r="B337" s="8">
        <v>5.0000000000000001E-3</v>
      </c>
      <c r="C337" s="83">
        <v>5.57E-2</v>
      </c>
      <c r="D337" s="83">
        <v>-1.1319999999999999</v>
      </c>
      <c r="E337" s="82">
        <v>-1.0181877525563323</v>
      </c>
      <c r="F337">
        <f t="shared" si="127"/>
        <v>0.48213713285131465</v>
      </c>
      <c r="G337" s="80"/>
    </row>
    <row r="338" spans="1:7" x14ac:dyDescent="0.35">
      <c r="B338" s="8">
        <v>6.0000000000000001E-3</v>
      </c>
      <c r="C338" s="83">
        <v>5.2200000000000003E-2</v>
      </c>
      <c r="D338" s="83">
        <v>-1.0458000000000001</v>
      </c>
      <c r="E338" s="82">
        <v>-0.93903943929208344</v>
      </c>
      <c r="F338">
        <f t="shared" si="127"/>
        <v>0.56491799828330214</v>
      </c>
      <c r="G338" s="80"/>
    </row>
    <row r="339" spans="1:7" x14ac:dyDescent="0.35">
      <c r="B339" s="8">
        <v>0.01</v>
      </c>
      <c r="C339" s="83">
        <v>1.8499999999999999E-2</v>
      </c>
      <c r="D339" s="83">
        <v>0.76139999999999997</v>
      </c>
      <c r="E339" s="82">
        <v>-0.7229949032271219</v>
      </c>
      <c r="F339">
        <f t="shared" si="127"/>
        <v>0.8831356148382965</v>
      </c>
      <c r="G339" s="80"/>
    </row>
    <row r="340" spans="1:7" x14ac:dyDescent="0.35">
      <c r="B340" s="8">
        <v>1.4999999999999999E-2</v>
      </c>
      <c r="C340" s="83">
        <v>-2.5100000000000001E-2</v>
      </c>
      <c r="D340" s="83">
        <v>-0.51739999999999997</v>
      </c>
      <c r="E340" s="82">
        <v>-0.56777729287106737</v>
      </c>
      <c r="F340">
        <f t="shared" si="127"/>
        <v>1.2612539503707894</v>
      </c>
      <c r="G340" s="80"/>
    </row>
    <row r="341" spans="1:7" x14ac:dyDescent="0.35">
      <c r="A341" t="s">
        <v>260</v>
      </c>
      <c r="B341" s="8">
        <v>0.02</v>
      </c>
      <c r="C341" s="83">
        <v>-6.0400000000000002E-2</v>
      </c>
      <c r="D341" s="83">
        <v>-0.34899999999999998</v>
      </c>
      <c r="E341" s="82">
        <v>-0.47111095100023276</v>
      </c>
      <c r="F341">
        <f t="shared" si="127"/>
        <v>1.6226422308308983</v>
      </c>
      <c r="G341" s="80"/>
    </row>
    <row r="342" spans="1:7" x14ac:dyDescent="0.35">
      <c r="B342" s="8">
        <v>2.5000000000000001E-2</v>
      </c>
      <c r="C342" s="83">
        <f>-0.0886</f>
        <v>-8.8599999999999998E-2</v>
      </c>
      <c r="D342" s="83">
        <f>-0.2257</f>
        <v>-0.22570000000000001</v>
      </c>
      <c r="E342" s="82">
        <v>-0.40500006975915542</v>
      </c>
      <c r="F342">
        <f>-1/E342</f>
        <v>2.4691353771733371</v>
      </c>
      <c r="G342" s="80"/>
    </row>
    <row r="343" spans="1:7" x14ac:dyDescent="0.35">
      <c r="A343" t="s">
        <v>259</v>
      </c>
      <c r="B343" s="8">
        <v>0.03</v>
      </c>
      <c r="C343" s="83">
        <v>-0.1116</v>
      </c>
      <c r="D343" s="83">
        <v>-0.13089999999999999</v>
      </c>
      <c r="E343" s="82">
        <v>-0.35694620462796661</v>
      </c>
      <c r="F343">
        <f>-1/E343</f>
        <v>2.801542605116834</v>
      </c>
      <c r="G343" s="80"/>
    </row>
    <row r="344" spans="1:7" x14ac:dyDescent="0.35">
      <c r="A344" t="s">
        <v>259</v>
      </c>
      <c r="B344" s="8">
        <v>0.04</v>
      </c>
      <c r="C344" s="83">
        <v>-0.14729999999999999</v>
      </c>
      <c r="D344" s="83">
        <v>6.8999999999999999E-3</v>
      </c>
      <c r="E344" s="82"/>
      <c r="G344" s="80"/>
    </row>
    <row r="345" spans="1:7" x14ac:dyDescent="0.35">
      <c r="A345" t="s">
        <v>259</v>
      </c>
      <c r="B345" s="8">
        <v>0.05</v>
      </c>
      <c r="C345" s="83">
        <v>-0.17460000000000001</v>
      </c>
      <c r="D345" s="83">
        <v>0.104</v>
      </c>
      <c r="E345" s="82"/>
      <c r="G345" s="80"/>
    </row>
    <row r="346" spans="1:7" x14ac:dyDescent="0.35">
      <c r="A346" t="s">
        <v>259</v>
      </c>
      <c r="B346" s="8">
        <v>0.06</v>
      </c>
      <c r="C346" s="83">
        <v>0.1966</v>
      </c>
      <c r="D346" s="83">
        <v>0.17780000000000001</v>
      </c>
      <c r="E346" s="82"/>
      <c r="G346" s="80"/>
    </row>
    <row r="347" spans="1:7" x14ac:dyDescent="0.35">
      <c r="B347" s="8">
        <v>7.0000000000000007E-2</v>
      </c>
      <c r="C347" s="83">
        <v>-0.21529999999999999</v>
      </c>
      <c r="D347" s="83">
        <v>0.23680000000000001</v>
      </c>
      <c r="E347" s="82"/>
      <c r="G347" s="80"/>
    </row>
    <row r="348" spans="1:7" x14ac:dyDescent="0.35">
      <c r="B348" s="8">
        <v>0.08</v>
      </c>
      <c r="C348" s="83">
        <v>-0.2316</v>
      </c>
      <c r="D348" s="83">
        <v>0.2858</v>
      </c>
      <c r="E348" s="82"/>
      <c r="G348" s="80"/>
    </row>
    <row r="349" spans="1:7" x14ac:dyDescent="0.35">
      <c r="B349" s="8">
        <v>0.1</v>
      </c>
      <c r="C349" s="83">
        <v>-0.2586</v>
      </c>
      <c r="D349" s="83">
        <v>0.36320000000000002</v>
      </c>
      <c r="E349" s="82"/>
      <c r="G349" s="80">
        <v>0.04</v>
      </c>
    </row>
    <row r="350" spans="1:7" x14ac:dyDescent="0.35">
      <c r="B350" s="8">
        <v>0.15</v>
      </c>
      <c r="C350" s="83">
        <v>0.31209999999999999</v>
      </c>
      <c r="D350" s="83">
        <v>0.50060000000000004</v>
      </c>
      <c r="E350" s="82"/>
      <c r="G350" s="80">
        <v>4.4999999999999998E-2</v>
      </c>
    </row>
    <row r="351" spans="1:7" x14ac:dyDescent="0.35">
      <c r="B351" s="8">
        <v>0.2</v>
      </c>
      <c r="C351" s="83">
        <v>-0.35070000000000001</v>
      </c>
      <c r="D351" s="83">
        <v>0.59209999999999996</v>
      </c>
      <c r="E351" s="82"/>
      <c r="G351" s="80">
        <v>0.05</v>
      </c>
    </row>
    <row r="352" spans="1:7" x14ac:dyDescent="0.35">
      <c r="B352" s="8">
        <v>0.25</v>
      </c>
      <c r="G352" s="80">
        <v>0.05</v>
      </c>
    </row>
  </sheetData>
  <autoFilter ref="A18:T312" xr:uid="{00000000-0009-0000-0000-00000D000000}">
    <filterColumn colId="1">
      <filters>
        <filter val="0.50%"/>
      </filters>
    </filterColumn>
  </autoFilter>
  <mergeCells count="1">
    <mergeCell ref="I17:J17"/>
  </mergeCells>
  <pageMargins left="0.7" right="0.7" top="0.75" bottom="0.75" header="0.3" footer="0.3"/>
  <pageSetup orientation="portrait" horizontalDpi="1200" verticalDpi="1200" r:id="rId1"/>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V175"/>
  <sheetViews>
    <sheetView topLeftCell="A64" workbookViewId="0">
      <selection activeCell="H32" sqref="H32"/>
    </sheetView>
  </sheetViews>
  <sheetFormatPr defaultRowHeight="14.5" x14ac:dyDescent="0.35"/>
  <cols>
    <col min="1" max="1" width="14.26953125" customWidth="1"/>
    <col min="2" max="2" width="19.1796875" customWidth="1"/>
    <col min="3" max="3" width="16.54296875" style="28" customWidth="1"/>
    <col min="7" max="9" width="10.7265625" customWidth="1"/>
    <col min="10" max="10" width="14.453125" bestFit="1" customWidth="1"/>
    <col min="11" max="18" width="10.7265625" customWidth="1"/>
  </cols>
  <sheetData>
    <row r="1" spans="1:18" x14ac:dyDescent="0.35">
      <c r="B1" t="s">
        <v>206</v>
      </c>
    </row>
    <row r="4" spans="1:18" x14ac:dyDescent="0.35">
      <c r="O4" t="s">
        <v>198</v>
      </c>
    </row>
    <row r="5" spans="1:18" x14ac:dyDescent="0.35">
      <c r="E5" t="s">
        <v>190</v>
      </c>
      <c r="F5" t="s">
        <v>191</v>
      </c>
      <c r="G5" t="s">
        <v>182</v>
      </c>
      <c r="H5" s="36">
        <v>0.1</v>
      </c>
      <c r="I5" s="36">
        <v>0.2</v>
      </c>
      <c r="J5" s="36">
        <v>0.3</v>
      </c>
      <c r="K5" s="36">
        <v>0.4</v>
      </c>
      <c r="L5" s="26">
        <v>0.5</v>
      </c>
      <c r="M5" s="26">
        <v>1</v>
      </c>
      <c r="O5" t="s">
        <v>202</v>
      </c>
    </row>
    <row r="6" spans="1:18" x14ac:dyDescent="0.35">
      <c r="A6" t="s">
        <v>187</v>
      </c>
      <c r="B6" t="s">
        <v>188</v>
      </c>
      <c r="C6" s="28" t="s">
        <v>189</v>
      </c>
      <c r="D6" t="s">
        <v>50</v>
      </c>
      <c r="E6" t="s">
        <v>40</v>
      </c>
      <c r="F6" t="s">
        <v>180</v>
      </c>
      <c r="H6" t="str">
        <f>"IV="&amp;H5</f>
        <v>IV=0.1</v>
      </c>
      <c r="I6" t="str">
        <f>"IV="&amp;I5</f>
        <v>IV=0.2</v>
      </c>
      <c r="J6" t="str">
        <f>"IV="&amp;J5</f>
        <v>IV=0.3</v>
      </c>
      <c r="K6" t="str">
        <f>"IV="&amp;K5</f>
        <v>IV=0.4</v>
      </c>
      <c r="L6" t="str">
        <f>"IV="&amp;L5</f>
        <v>IV=0.5</v>
      </c>
      <c r="O6" t="s">
        <v>194</v>
      </c>
      <c r="P6" t="s">
        <v>192</v>
      </c>
      <c r="Q6" t="s">
        <v>201</v>
      </c>
    </row>
    <row r="7" spans="1:18" x14ac:dyDescent="0.35">
      <c r="A7" s="26">
        <v>0.2</v>
      </c>
      <c r="B7">
        <v>1</v>
      </c>
      <c r="C7" s="28">
        <f t="shared" ref="C7:C14" si="0">B7/365</f>
        <v>2.7397260273972603E-3</v>
      </c>
      <c r="D7">
        <f t="shared" ref="D7:D14" si="1">0.5*H$5*SQRT(B7/365)</f>
        <v>2.6171196129510686E-3</v>
      </c>
      <c r="E7">
        <v>100</v>
      </c>
      <c r="F7">
        <v>100</v>
      </c>
      <c r="G7" t="str">
        <f>"Tdays="&amp;B7</f>
        <v>Tdays=1</v>
      </c>
      <c r="H7">
        <f t="shared" ref="H7:L11" si="2">2*(NORMDIST(0.5*H$5*SQRT($B7/365),0,1,TRUE)-0.5)*$E7</f>
        <v>0.2088156949207054</v>
      </c>
      <c r="I7">
        <f t="shared" si="2"/>
        <v>0.41762995960261673</v>
      </c>
      <c r="J7">
        <f t="shared" si="2"/>
        <v>0.62644136383638305</v>
      </c>
      <c r="K7">
        <f t="shared" si="2"/>
        <v>0.8352484774714064</v>
      </c>
      <c r="L7">
        <f t="shared" si="2"/>
        <v>1.0440498704451961</v>
      </c>
      <c r="O7">
        <f>B7</f>
        <v>1</v>
      </c>
      <c r="P7">
        <f>SLOPE($H7:$L7,$H$5:$L$5)</f>
        <v>2.0880868689177712</v>
      </c>
      <c r="Q7">
        <f>$E7*(1/SQRT(2*PI())*SQRT(O7/365))</f>
        <v>2.0881593329480284</v>
      </c>
      <c r="R7">
        <f>1-EXP(-S5*O7)</f>
        <v>0</v>
      </c>
    </row>
    <row r="8" spans="1:18" x14ac:dyDescent="0.35">
      <c r="A8" s="26">
        <v>0.2</v>
      </c>
      <c r="B8">
        <v>7</v>
      </c>
      <c r="C8" s="28">
        <f t="shared" si="0"/>
        <v>1.9178082191780823E-2</v>
      </c>
      <c r="D8">
        <f t="shared" si="1"/>
        <v>6.9242476471781432E-3</v>
      </c>
      <c r="E8">
        <v>100</v>
      </c>
      <c r="F8">
        <v>100</v>
      </c>
      <c r="G8" t="str">
        <f t="shared" ref="G8:G14" si="3">"Tdays="&amp;B8</f>
        <v>Tdays=7</v>
      </c>
      <c r="H8">
        <f t="shared" si="2"/>
        <v>0.55247061456284996</v>
      </c>
      <c r="I8">
        <f t="shared" si="2"/>
        <v>1.1049147415493898</v>
      </c>
      <c r="J8">
        <f t="shared" si="2"/>
        <v>1.6573058971929289</v>
      </c>
      <c r="K8">
        <f t="shared" si="2"/>
        <v>2.2096176053453709</v>
      </c>
      <c r="L8">
        <f t="shared" si="2"/>
        <v>2.7618234012839249</v>
      </c>
      <c r="O8">
        <f t="shared" ref="O8:O13" si="4">B8</f>
        <v>7</v>
      </c>
      <c r="P8">
        <f t="shared" ref="P8:P14" si="5">SLOPE($H8:$L8,$H$5:$L$5)</f>
        <v>5.5234084372381309</v>
      </c>
      <c r="Q8">
        <f t="shared" ref="Q8:Q14" si="6">$E8*(1/SQRT(2*PI())*SQRT(O8/365))</f>
        <v>5.5247502928590073</v>
      </c>
    </row>
    <row r="9" spans="1:18" x14ac:dyDescent="0.35">
      <c r="A9" s="26">
        <v>0.2</v>
      </c>
      <c r="B9">
        <f>B8+7</f>
        <v>14</v>
      </c>
      <c r="C9" s="28">
        <f t="shared" si="0"/>
        <v>3.8356164383561646E-2</v>
      </c>
      <c r="D9">
        <f t="shared" si="1"/>
        <v>9.7923649318693243E-3</v>
      </c>
      <c r="E9">
        <v>100</v>
      </c>
      <c r="F9">
        <v>100</v>
      </c>
      <c r="G9" t="str">
        <f t="shared" si="3"/>
        <v>Tdays=14</v>
      </c>
      <c r="H9">
        <f t="shared" si="2"/>
        <v>0.78130519265595666</v>
      </c>
      <c r="I9">
        <f t="shared" si="2"/>
        <v>1.562535469826476</v>
      </c>
      <c r="J9">
        <f t="shared" si="2"/>
        <v>2.3436159375751719</v>
      </c>
      <c r="K9">
        <f t="shared" si="2"/>
        <v>3.1244717450536807</v>
      </c>
      <c r="L9">
        <f t="shared" si="2"/>
        <v>3.9050281060196701</v>
      </c>
      <c r="O9">
        <f t="shared" si="4"/>
        <v>14</v>
      </c>
      <c r="P9">
        <f t="shared" si="5"/>
        <v>7.8093821019546317</v>
      </c>
      <c r="Q9">
        <f t="shared" si="6"/>
        <v>7.8131767928859368</v>
      </c>
    </row>
    <row r="10" spans="1:18" x14ac:dyDescent="0.35">
      <c r="A10" s="26">
        <v>0.2</v>
      </c>
      <c r="B10">
        <f>B9+7</f>
        <v>21</v>
      </c>
      <c r="C10" s="28">
        <f t="shared" si="0"/>
        <v>5.7534246575342465E-2</v>
      </c>
      <c r="D10">
        <f t="shared" si="1"/>
        <v>1.1993148729101802E-2</v>
      </c>
      <c r="E10">
        <v>100</v>
      </c>
      <c r="F10">
        <v>100</v>
      </c>
      <c r="G10" t="str">
        <f t="shared" si="3"/>
        <v>Tdays=21</v>
      </c>
      <c r="H10">
        <f t="shared" si="2"/>
        <v>0.95689188139234105</v>
      </c>
      <c r="I10">
        <f t="shared" si="2"/>
        <v>1.9136461391985105</v>
      </c>
      <c r="J10">
        <f t="shared" si="2"/>
        <v>2.8701252092099949</v>
      </c>
      <c r="K10">
        <f t="shared" si="2"/>
        <v>3.8261916459309653</v>
      </c>
      <c r="L10">
        <f t="shared" si="2"/>
        <v>4.7817081818279483</v>
      </c>
      <c r="O10">
        <f t="shared" si="4"/>
        <v>21</v>
      </c>
      <c r="P10">
        <f t="shared" si="5"/>
        <v>9.5621781076036676</v>
      </c>
      <c r="Q10">
        <f t="shared" si="6"/>
        <v>9.5691482063628346</v>
      </c>
    </row>
    <row r="11" spans="1:18" x14ac:dyDescent="0.35">
      <c r="A11" s="26">
        <v>0.2</v>
      </c>
      <c r="B11">
        <f>B10+7</f>
        <v>28</v>
      </c>
      <c r="C11" s="28">
        <f t="shared" si="0"/>
        <v>7.6712328767123292E-2</v>
      </c>
      <c r="D11">
        <f t="shared" si="1"/>
        <v>1.3848495294356286E-2</v>
      </c>
      <c r="E11">
        <v>100</v>
      </c>
      <c r="F11">
        <v>100</v>
      </c>
      <c r="G11" t="str">
        <f t="shared" si="3"/>
        <v>Tdays=28</v>
      </c>
      <c r="H11">
        <f t="shared" si="2"/>
        <v>1.1049147415493898</v>
      </c>
      <c r="I11">
        <f t="shared" si="2"/>
        <v>2.2096176053453709</v>
      </c>
      <c r="J11">
        <f t="shared" si="2"/>
        <v>3.3138968355154397</v>
      </c>
      <c r="K11">
        <f t="shared" si="2"/>
        <v>4.417540919831886</v>
      </c>
      <c r="L11">
        <f t="shared" si="2"/>
        <v>5.5203387112423119</v>
      </c>
      <c r="O11">
        <f t="shared" si="4"/>
        <v>28</v>
      </c>
      <c r="P11">
        <f t="shared" si="5"/>
        <v>11.038771253872358</v>
      </c>
      <c r="Q11">
        <f t="shared" si="6"/>
        <v>11.049500585718015</v>
      </c>
    </row>
    <row r="12" spans="1:18" x14ac:dyDescent="0.35">
      <c r="A12" s="26">
        <v>0.2</v>
      </c>
      <c r="B12">
        <f>B11+7</f>
        <v>35</v>
      </c>
      <c r="C12" s="28">
        <f t="shared" si="0"/>
        <v>9.5890410958904104E-2</v>
      </c>
      <c r="D12">
        <f t="shared" si="1"/>
        <v>1.5483088432133307E-2</v>
      </c>
      <c r="E12">
        <v>100</v>
      </c>
      <c r="F12">
        <v>100</v>
      </c>
      <c r="G12" t="str">
        <f t="shared" si="3"/>
        <v>Tdays=35</v>
      </c>
      <c r="H12">
        <f t="shared" ref="H12:M14" si="7">2*(NORMDIST(0.5*H$5*SQRT($B12/365),0,1,TRUE)-0.5)*$E12</f>
        <v>1.2353223646700995</v>
      </c>
      <c r="I12">
        <f t="shared" si="7"/>
        <v>2.4703486318249812</v>
      </c>
      <c r="J12">
        <f t="shared" si="7"/>
        <v>3.7047829168494806</v>
      </c>
      <c r="K12">
        <f t="shared" si="7"/>
        <v>4.9383297606734544</v>
      </c>
      <c r="L12">
        <f t="shared" si="7"/>
        <v>6.1706943419068683</v>
      </c>
      <c r="O12">
        <f t="shared" si="4"/>
        <v>35</v>
      </c>
      <c r="P12">
        <f t="shared" si="5"/>
        <v>12.338725083322011</v>
      </c>
      <c r="Q12">
        <f t="shared" si="6"/>
        <v>12.353717213544609</v>
      </c>
    </row>
    <row r="13" spans="1:18" x14ac:dyDescent="0.35">
      <c r="A13" s="26">
        <v>0.2</v>
      </c>
      <c r="B13">
        <f>B12+7</f>
        <v>42</v>
      </c>
      <c r="C13" s="28">
        <f t="shared" si="0"/>
        <v>0.11506849315068493</v>
      </c>
      <c r="D13">
        <f t="shared" si="1"/>
        <v>1.6960873588253416E-2</v>
      </c>
      <c r="E13">
        <v>100</v>
      </c>
      <c r="F13">
        <v>100</v>
      </c>
      <c r="G13" t="str">
        <f t="shared" si="3"/>
        <v>Tdays=42</v>
      </c>
      <c r="H13">
        <f t="shared" si="7"/>
        <v>1.3532170367997143</v>
      </c>
      <c r="I13">
        <f t="shared" si="7"/>
        <v>2.7060448573026141</v>
      </c>
      <c r="J13">
        <f t="shared" si="7"/>
        <v>4.0580945810223312</v>
      </c>
      <c r="K13">
        <f t="shared" si="7"/>
        <v>5.4089779986105091</v>
      </c>
      <c r="L13">
        <f t="shared" si="7"/>
        <v>6.7583079062197182</v>
      </c>
      <c r="O13">
        <f t="shared" si="4"/>
        <v>42</v>
      </c>
      <c r="P13">
        <f t="shared" si="5"/>
        <v>13.513114880147903</v>
      </c>
      <c r="Q13">
        <f t="shared" si="6"/>
        <v>13.532819173796499</v>
      </c>
    </row>
    <row r="14" spans="1:18" x14ac:dyDescent="0.35">
      <c r="A14" s="26"/>
      <c r="B14">
        <v>365</v>
      </c>
      <c r="C14" s="28">
        <f t="shared" si="0"/>
        <v>1</v>
      </c>
      <c r="D14">
        <f t="shared" si="1"/>
        <v>0.05</v>
      </c>
      <c r="E14">
        <v>100</v>
      </c>
      <c r="F14">
        <v>100</v>
      </c>
      <c r="G14" t="str">
        <f t="shared" si="3"/>
        <v>Tdays=365</v>
      </c>
      <c r="H14">
        <f t="shared" si="7"/>
        <v>3.9877611676744973</v>
      </c>
      <c r="I14">
        <f t="shared" si="7"/>
        <v>7.9655674554057976</v>
      </c>
      <c r="J14">
        <f t="shared" si="7"/>
        <v>11.923538474048501</v>
      </c>
      <c r="K14">
        <f t="shared" si="7"/>
        <v>15.851941887820598</v>
      </c>
      <c r="L14">
        <f t="shared" si="7"/>
        <v>19.74126513658474</v>
      </c>
      <c r="M14">
        <f t="shared" si="7"/>
        <v>38.292492254802625</v>
      </c>
      <c r="O14">
        <v>365</v>
      </c>
      <c r="P14">
        <f t="shared" si="5"/>
        <v>39.393382370235287</v>
      </c>
      <c r="Q14">
        <f t="shared" si="6"/>
        <v>39.894228040143268</v>
      </c>
    </row>
    <row r="15" spans="1:18" x14ac:dyDescent="0.35">
      <c r="A15" s="26"/>
    </row>
    <row r="16" spans="1:18" x14ac:dyDescent="0.35">
      <c r="A16" s="26"/>
    </row>
    <row r="17" spans="1:1" x14ac:dyDescent="0.35">
      <c r="A17" s="26"/>
    </row>
    <row r="18" spans="1:1" x14ac:dyDescent="0.35">
      <c r="A18" s="26"/>
    </row>
    <row r="19" spans="1:1" x14ac:dyDescent="0.35">
      <c r="A19" s="26"/>
    </row>
    <row r="20" spans="1:1" x14ac:dyDescent="0.35">
      <c r="A20" s="26"/>
    </row>
    <row r="21" spans="1:1" x14ac:dyDescent="0.35">
      <c r="A21" s="26"/>
    </row>
    <row r="22" spans="1:1" x14ac:dyDescent="0.35">
      <c r="A22" s="26"/>
    </row>
    <row r="23" spans="1:1" x14ac:dyDescent="0.35">
      <c r="A23" s="26"/>
    </row>
    <row r="24" spans="1:1" x14ac:dyDescent="0.35">
      <c r="A24" s="26"/>
    </row>
    <row r="25" spans="1:1" x14ac:dyDescent="0.35">
      <c r="A25" s="26"/>
    </row>
    <row r="26" spans="1:1" x14ac:dyDescent="0.35">
      <c r="A26" s="26"/>
    </row>
    <row r="38" spans="1:20" x14ac:dyDescent="0.35">
      <c r="E38" t="s">
        <v>210</v>
      </c>
      <c r="F38" s="8">
        <v>2.5000000000000001E-3</v>
      </c>
      <c r="I38" s="293" t="s">
        <v>215</v>
      </c>
      <c r="J38" s="294"/>
      <c r="K38" s="294"/>
      <c r="L38" s="294"/>
      <c r="M38" s="294"/>
      <c r="N38" s="294"/>
      <c r="O38" s="294"/>
      <c r="P38" s="294"/>
      <c r="Q38" s="294"/>
      <c r="R38" s="294"/>
      <c r="S38" s="294"/>
      <c r="T38" s="295"/>
    </row>
    <row r="39" spans="1:20" x14ac:dyDescent="0.35">
      <c r="E39" t="s">
        <v>182</v>
      </c>
      <c r="F39" s="36">
        <v>0.6</v>
      </c>
      <c r="H39" t="s">
        <v>203</v>
      </c>
      <c r="I39" s="80">
        <f>$D$42*(1/SQRT(2*PI())*SQRT(I41)*$F$39)</f>
        <v>1.2528955997688169</v>
      </c>
      <c r="J39" s="80">
        <f t="shared" ref="J39:T39" si="8">$D$42*(1/SQRT(2*PI())*SQRT(J41)*$F$39)</f>
        <v>3.3148501757154039</v>
      </c>
      <c r="K39" s="80">
        <f t="shared" si="8"/>
        <v>4.6879060757315623</v>
      </c>
      <c r="L39" s="80">
        <f t="shared" si="8"/>
        <v>5.7414889238177</v>
      </c>
      <c r="M39" s="80">
        <f t="shared" si="8"/>
        <v>6.6297003514308077</v>
      </c>
      <c r="N39" s="80">
        <f t="shared" si="8"/>
        <v>7.4122303281267659</v>
      </c>
      <c r="O39" s="80">
        <f t="shared" si="8"/>
        <v>8.119691504277899</v>
      </c>
      <c r="P39" s="80">
        <f t="shared" si="8"/>
        <v>11.886011297016578</v>
      </c>
      <c r="Q39" s="80">
        <f t="shared" si="8"/>
        <v>16.809358378760667</v>
      </c>
      <c r="R39" s="80">
        <f t="shared" si="8"/>
        <v>20.587175465770365</v>
      </c>
      <c r="S39" s="80">
        <f t="shared" si="8"/>
        <v>23.772022594033157</v>
      </c>
      <c r="T39" s="80">
        <f t="shared" si="8"/>
        <v>23.936536824085959</v>
      </c>
    </row>
    <row r="40" spans="1:20" x14ac:dyDescent="0.35">
      <c r="C40"/>
      <c r="D40" s="2" t="s">
        <v>190</v>
      </c>
      <c r="E40" s="2" t="s">
        <v>191</v>
      </c>
      <c r="F40" t="s">
        <v>212</v>
      </c>
      <c r="H40" s="2" t="s">
        <v>211</v>
      </c>
      <c r="I40" s="78">
        <v>1</v>
      </c>
      <c r="J40" s="78">
        <v>7</v>
      </c>
      <c r="K40" s="78">
        <v>14</v>
      </c>
      <c r="L40" s="78">
        <v>21</v>
      </c>
      <c r="M40" s="78">
        <v>28</v>
      </c>
      <c r="N40" s="78">
        <v>35</v>
      </c>
      <c r="O40" s="78">
        <v>42</v>
      </c>
      <c r="P40" s="2">
        <v>90</v>
      </c>
      <c r="Q40" s="2">
        <v>180</v>
      </c>
      <c r="R40" s="2">
        <v>270</v>
      </c>
      <c r="S40" s="78">
        <v>360</v>
      </c>
      <c r="T40" s="2">
        <v>365</v>
      </c>
    </row>
    <row r="41" spans="1:20" x14ac:dyDescent="0.35">
      <c r="A41" t="s">
        <v>209</v>
      </c>
      <c r="B41" t="s">
        <v>208</v>
      </c>
      <c r="C41" t="s">
        <v>207</v>
      </c>
      <c r="D41" s="2" t="s">
        <v>40</v>
      </c>
      <c r="E41" s="2" t="s">
        <v>180</v>
      </c>
      <c r="F41" s="2" t="s">
        <v>213</v>
      </c>
      <c r="H41" s="2" t="s">
        <v>189</v>
      </c>
      <c r="I41" s="8">
        <f>I40/365</f>
        <v>2.7397260273972603E-3</v>
      </c>
      <c r="J41" s="8">
        <f t="shared" ref="J41:T41" si="9">J40/365</f>
        <v>1.9178082191780823E-2</v>
      </c>
      <c r="K41" s="8">
        <f t="shared" si="9"/>
        <v>3.8356164383561646E-2</v>
      </c>
      <c r="L41" s="8">
        <f t="shared" si="9"/>
        <v>5.7534246575342465E-2</v>
      </c>
      <c r="M41" s="8">
        <f t="shared" si="9"/>
        <v>7.6712328767123292E-2</v>
      </c>
      <c r="N41" s="8">
        <f t="shared" si="9"/>
        <v>9.5890410958904104E-2</v>
      </c>
      <c r="O41" s="8">
        <f t="shared" si="9"/>
        <v>0.11506849315068493</v>
      </c>
      <c r="P41" s="8">
        <f t="shared" si="9"/>
        <v>0.24657534246575341</v>
      </c>
      <c r="Q41" s="8">
        <f t="shared" si="9"/>
        <v>0.49315068493150682</v>
      </c>
      <c r="R41" s="8">
        <f t="shared" si="9"/>
        <v>0.73972602739726023</v>
      </c>
      <c r="S41" s="8">
        <f t="shared" si="9"/>
        <v>0.98630136986301364</v>
      </c>
      <c r="T41" s="8">
        <f t="shared" si="9"/>
        <v>1</v>
      </c>
    </row>
    <row r="42" spans="1:20" x14ac:dyDescent="0.35">
      <c r="A42">
        <v>0</v>
      </c>
      <c r="B42" s="8">
        <f t="shared" ref="B42:B54" si="10">0%+$F$38*A42</f>
        <v>0</v>
      </c>
      <c r="C42" s="5">
        <f>D42*B42</f>
        <v>0</v>
      </c>
      <c r="D42" s="2">
        <v>100</v>
      </c>
      <c r="E42" s="5">
        <f>D42+C42</f>
        <v>100</v>
      </c>
      <c r="F42" s="5">
        <f>E42-D42</f>
        <v>0</v>
      </c>
      <c r="I42" s="80">
        <f>($E42*NORMDIST(LN($E42/$D42)/($F$39*SQRT(I$41))+0.5*$F$39*SQRT(I$41),0,1,TRUE)-$D42*NORMDIST(LN($E42/$D42)/($F$39*SQRT(I$41))-0.5*$F$39*SQRT(I$41),0,1,TRUE)-$F42)/I$39</f>
        <v>0.99995890562953049</v>
      </c>
      <c r="J42" s="80">
        <f t="shared" ref="J42:T42" si="11">($E42*NORMDIST(LN($E42/$D42)/($F$39*SQRT(J$41))+0.5*$F$39*SQRT(J$41),0,1,TRUE)-$D42*NORMDIST(LN($E42/$D42)/($F$39*SQRT(J$41))-0.5*$F$39*SQRT(J$41),0,1,TRUE)-$F42)/J$39</f>
        <v>0.99971240323108657</v>
      </c>
      <c r="K42" s="80">
        <f t="shared" si="11"/>
        <v>0.99942495532891373</v>
      </c>
      <c r="L42" s="80">
        <f t="shared" si="11"/>
        <v>0.99913765620175177</v>
      </c>
      <c r="M42" s="80">
        <f t="shared" si="11"/>
        <v>0.99885050575792833</v>
      </c>
      <c r="N42" s="80">
        <f t="shared" si="11"/>
        <v>0.99856350390583537</v>
      </c>
      <c r="O42" s="80">
        <f t="shared" si="11"/>
        <v>0.998276650553928</v>
      </c>
      <c r="P42" s="80">
        <f t="shared" si="11"/>
        <v>0.99631364928497568</v>
      </c>
      <c r="Q42" s="80">
        <f t="shared" si="11"/>
        <v>0.99265172814648939</v>
      </c>
      <c r="R42" s="80">
        <f t="shared" si="11"/>
        <v>0.98901404393297065</v>
      </c>
      <c r="S42" s="80">
        <f t="shared" si="11"/>
        <v>0.98540040564683251</v>
      </c>
      <c r="T42" s="80">
        <f t="shared" si="11"/>
        <v>0.98520034920260646</v>
      </c>
    </row>
    <row r="43" spans="1:20" x14ac:dyDescent="0.35">
      <c r="A43">
        <f>A42+1</f>
        <v>1</v>
      </c>
      <c r="B43" s="8">
        <f t="shared" si="10"/>
        <v>2.5000000000000001E-3</v>
      </c>
      <c r="C43" s="5">
        <f t="shared" ref="C43:C66" si="12">D43*B43</f>
        <v>0.25</v>
      </c>
      <c r="D43" s="2">
        <v>100</v>
      </c>
      <c r="E43" s="5">
        <f t="shared" ref="E43:E66" si="13">D43+C43</f>
        <v>100.25</v>
      </c>
      <c r="F43" s="5">
        <f t="shared" ref="F43:F66" si="14">E43-D43</f>
        <v>0.25</v>
      </c>
      <c r="I43" s="80">
        <f t="shared" ref="I43:T58" si="15">($E43*NORMDIST(LN($E43/$D43)/($F$39*SQRT(I$41))+0.5*$F$39*SQRT(I$41),0,1,TRUE)-$D43*NORMDIST(LN($E43/$D43)/($F$39*SQRT(I$41))-0.5*$F$39*SQRT(I$41),0,1,TRUE)-$F43)/I$39</f>
        <v>0.90460235959908042</v>
      </c>
      <c r="J43" s="80">
        <f t="shared" si="15"/>
        <v>0.96370458890143906</v>
      </c>
      <c r="K43" s="80">
        <f t="shared" si="15"/>
        <v>0.97423551351790283</v>
      </c>
      <c r="L43" s="80">
        <f t="shared" si="15"/>
        <v>0.97876551677416046</v>
      </c>
      <c r="M43" s="80">
        <f t="shared" si="15"/>
        <v>0.98135714585083189</v>
      </c>
      <c r="N43" s="80">
        <f t="shared" si="15"/>
        <v>0.98303771051404654</v>
      </c>
      <c r="O43" s="80">
        <f t="shared" si="15"/>
        <v>0.98420477676301321</v>
      </c>
      <c r="P43" s="80">
        <f t="shared" si="15"/>
        <v>0.98707724957504339</v>
      </c>
      <c r="Q43" s="80">
        <f t="shared" si="15"/>
        <v>0.98647340337729239</v>
      </c>
      <c r="R43" s="80">
        <f t="shared" si="15"/>
        <v>0.9841899068009361</v>
      </c>
      <c r="S43" s="80">
        <f t="shared" si="15"/>
        <v>0.98138228260717408</v>
      </c>
      <c r="T43" s="80">
        <f t="shared" si="15"/>
        <v>0.98121799562052903</v>
      </c>
    </row>
    <row r="44" spans="1:20" x14ac:dyDescent="0.35">
      <c r="A44">
        <f t="shared" ref="A44:A66" si="16">A43+1</f>
        <v>2</v>
      </c>
      <c r="B44" s="8">
        <f t="shared" si="10"/>
        <v>5.0000000000000001E-3</v>
      </c>
      <c r="C44" s="5">
        <f t="shared" si="12"/>
        <v>0.5</v>
      </c>
      <c r="D44" s="2">
        <v>100</v>
      </c>
      <c r="E44" s="5">
        <f t="shared" si="13"/>
        <v>100.5</v>
      </c>
      <c r="F44" s="5">
        <f t="shared" si="14"/>
        <v>0.5</v>
      </c>
      <c r="I44" s="80">
        <f t="shared" si="15"/>
        <v>0.81553499505509297</v>
      </c>
      <c r="J44" s="80">
        <f t="shared" si="15"/>
        <v>0.92859739850608569</v>
      </c>
      <c r="K44" s="80">
        <f t="shared" si="15"/>
        <v>0.94949611349557217</v>
      </c>
      <c r="L44" s="80">
        <f t="shared" si="15"/>
        <v>0.95869317265783527</v>
      </c>
      <c r="M44" s="80">
        <f t="shared" si="15"/>
        <v>0.96408844830850482</v>
      </c>
      <c r="N44" s="80">
        <f t="shared" si="15"/>
        <v>0.96769149669253829</v>
      </c>
      <c r="O44" s="80">
        <f t="shared" si="15"/>
        <v>0.97028242614057492</v>
      </c>
      <c r="P44" s="80">
        <f t="shared" si="15"/>
        <v>0.97791021887546326</v>
      </c>
      <c r="Q44" s="80">
        <f t="shared" si="15"/>
        <v>0.98032938108649503</v>
      </c>
      <c r="R44" s="80">
        <f t="shared" si="15"/>
        <v>0.97938838580019227</v>
      </c>
      <c r="S44" s="80">
        <f t="shared" si="15"/>
        <v>0.97738093455389252</v>
      </c>
      <c r="T44" s="80">
        <f t="shared" si="15"/>
        <v>0.97725217703686262</v>
      </c>
    </row>
    <row r="45" spans="1:20" x14ac:dyDescent="0.35">
      <c r="A45">
        <f t="shared" si="16"/>
        <v>3</v>
      </c>
      <c r="B45" s="8">
        <f t="shared" si="10"/>
        <v>7.4999999999999997E-3</v>
      </c>
      <c r="C45" s="5">
        <f t="shared" si="12"/>
        <v>0.75</v>
      </c>
      <c r="D45" s="2">
        <v>100</v>
      </c>
      <c r="E45" s="5">
        <f t="shared" si="13"/>
        <v>100.75</v>
      </c>
      <c r="F45" s="5">
        <f t="shared" si="14"/>
        <v>0.75</v>
      </c>
      <c r="I45" s="80">
        <f t="shared" si="15"/>
        <v>0.7326745365005316</v>
      </c>
      <c r="J45" s="80">
        <f t="shared" si="15"/>
        <v>0.89438626427263312</v>
      </c>
      <c r="K45" s="80">
        <f t="shared" si="15"/>
        <v>0.92520477476956842</v>
      </c>
      <c r="L45" s="80">
        <f t="shared" si="15"/>
        <v>0.93891937164905137</v>
      </c>
      <c r="M45" s="80">
        <f t="shared" si="15"/>
        <v>0.94704349989470005</v>
      </c>
      <c r="N45" s="80">
        <f t="shared" si="15"/>
        <v>0.95252414452539291</v>
      </c>
      <c r="O45" s="80">
        <f t="shared" si="15"/>
        <v>0.95650900762488134</v>
      </c>
      <c r="P45" s="80">
        <f t="shared" si="15"/>
        <v>0.96881229125685253</v>
      </c>
      <c r="Q45" s="80">
        <f t="shared" si="15"/>
        <v>0.97421953156644003</v>
      </c>
      <c r="R45" s="80">
        <f t="shared" si="15"/>
        <v>0.97460939580652539</v>
      </c>
      <c r="S45" s="80">
        <f t="shared" si="15"/>
        <v>0.97339629849420162</v>
      </c>
      <c r="T45" s="80">
        <f t="shared" si="15"/>
        <v>0.97330283136593332</v>
      </c>
    </row>
    <row r="46" spans="1:20" x14ac:dyDescent="0.35">
      <c r="A46">
        <f t="shared" si="16"/>
        <v>4</v>
      </c>
      <c r="B46" s="8">
        <f t="shared" si="10"/>
        <v>0.01</v>
      </c>
      <c r="C46" s="5">
        <f t="shared" si="12"/>
        <v>1</v>
      </c>
      <c r="D46" s="2">
        <v>100</v>
      </c>
      <c r="E46" s="5">
        <f t="shared" si="13"/>
        <v>101</v>
      </c>
      <c r="F46" s="5">
        <f t="shared" si="14"/>
        <v>1</v>
      </c>
      <c r="I46" s="80">
        <f t="shared" si="15"/>
        <v>0.65590175813373497</v>
      </c>
      <c r="J46" s="80">
        <f t="shared" si="15"/>
        <v>0.86106585526637003</v>
      </c>
      <c r="K46" s="80">
        <f t="shared" si="15"/>
        <v>0.90135933084506414</v>
      </c>
      <c r="L46" s="80">
        <f t="shared" si="15"/>
        <v>0.91944278117236544</v>
      </c>
      <c r="M46" s="80">
        <f t="shared" si="15"/>
        <v>0.93022134347753882</v>
      </c>
      <c r="N46" s="80">
        <f t="shared" si="15"/>
        <v>0.93753490884885549</v>
      </c>
      <c r="O46" s="80">
        <f t="shared" si="15"/>
        <v>0.94288391182030962</v>
      </c>
      <c r="P46" s="80">
        <f t="shared" si="15"/>
        <v>0.95978319767354636</v>
      </c>
      <c r="Q46" s="80">
        <f t="shared" si="15"/>
        <v>0.96814372473525445</v>
      </c>
      <c r="R46" s="80">
        <f t="shared" si="15"/>
        <v>0.96985285170548607</v>
      </c>
      <c r="S46" s="80">
        <f t="shared" si="15"/>
        <v>0.96942831153769171</v>
      </c>
      <c r="T46" s="80">
        <f t="shared" si="15"/>
        <v>0.96936989662683204</v>
      </c>
    </row>
    <row r="47" spans="1:20" x14ac:dyDescent="0.35">
      <c r="A47">
        <f t="shared" si="16"/>
        <v>5</v>
      </c>
      <c r="B47" s="8">
        <f t="shared" si="10"/>
        <v>1.2500000000000001E-2</v>
      </c>
      <c r="C47" s="5">
        <f t="shared" si="12"/>
        <v>1.25</v>
      </c>
      <c r="D47" s="2">
        <v>100</v>
      </c>
      <c r="E47" s="5">
        <f t="shared" si="13"/>
        <v>101.25</v>
      </c>
      <c r="F47" s="5">
        <f t="shared" si="14"/>
        <v>1.25</v>
      </c>
      <c r="I47" s="80">
        <f t="shared" si="15"/>
        <v>0.58506293415933075</v>
      </c>
      <c r="J47" s="80">
        <f t="shared" si="15"/>
        <v>0.82863009713403024</v>
      </c>
      <c r="K47" s="80">
        <f t="shared" si="15"/>
        <v>0.87795743346191712</v>
      </c>
      <c r="L47" s="80">
        <f t="shared" si="15"/>
        <v>0.90026199004563578</v>
      </c>
      <c r="M47" s="80">
        <f t="shared" si="15"/>
        <v>0.91362097898309991</v>
      </c>
      <c r="N47" s="80">
        <f t="shared" si="15"/>
        <v>0.92272301784349753</v>
      </c>
      <c r="O47" s="80">
        <f t="shared" si="15"/>
        <v>0.92940651139838204</v>
      </c>
      <c r="P47" s="80">
        <f t="shared" si="15"/>
        <v>0.95082266604022614</v>
      </c>
      <c r="Q47" s="80">
        <f t="shared" si="15"/>
        <v>0.96210183015205331</v>
      </c>
      <c r="R47" s="80">
        <f t="shared" si="15"/>
        <v>0.96511866839752014</v>
      </c>
      <c r="S47" s="80">
        <f t="shared" si="15"/>
        <v>0.96547691089832943</v>
      </c>
      <c r="T47" s="80">
        <f t="shared" si="15"/>
        <v>0.96545331094531506</v>
      </c>
    </row>
    <row r="48" spans="1:20" x14ac:dyDescent="0.35">
      <c r="A48">
        <f t="shared" si="16"/>
        <v>6</v>
      </c>
      <c r="B48" s="8">
        <f t="shared" si="10"/>
        <v>1.4999999999999999E-2</v>
      </c>
      <c r="C48" s="5">
        <f t="shared" si="12"/>
        <v>1.5</v>
      </c>
      <c r="D48" s="2">
        <v>100</v>
      </c>
      <c r="E48" s="5">
        <f t="shared" si="13"/>
        <v>101.5</v>
      </c>
      <c r="F48" s="5">
        <f t="shared" si="14"/>
        <v>1.5</v>
      </c>
      <c r="I48" s="80">
        <f t="shared" si="15"/>
        <v>0.51997284405041255</v>
      </c>
      <c r="J48" s="80">
        <f t="shared" si="15"/>
        <v>0.79707219350294167</v>
      </c>
      <c r="K48" s="80">
        <f t="shared" si="15"/>
        <v>0.85499655701085975</v>
      </c>
      <c r="L48" s="80">
        <f t="shared" si="15"/>
        <v>0.88137551028950756</v>
      </c>
      <c r="M48" s="80">
        <f t="shared" si="15"/>
        <v>0.89724136436411106</v>
      </c>
      <c r="N48" s="80">
        <f t="shared" si="15"/>
        <v>0.90808767363226484</v>
      </c>
      <c r="O48" s="80">
        <f t="shared" si="15"/>
        <v>0.9160761615012053</v>
      </c>
      <c r="P48" s="80">
        <f t="shared" si="15"/>
        <v>0.94193042130812321</v>
      </c>
      <c r="Q48" s="80">
        <f t="shared" si="15"/>
        <v>0.95609371703197721</v>
      </c>
      <c r="R48" s="80">
        <f t="shared" si="15"/>
        <v>0.96040676080302256</v>
      </c>
      <c r="S48" s="80">
        <f t="shared" si="15"/>
        <v>0.9615420338964269</v>
      </c>
      <c r="T48" s="80">
        <f t="shared" si="15"/>
        <v>0.96155301255567038</v>
      </c>
    </row>
    <row r="49" spans="1:20" x14ac:dyDescent="0.35">
      <c r="A49">
        <f t="shared" si="16"/>
        <v>7</v>
      </c>
      <c r="B49" s="8">
        <f t="shared" si="10"/>
        <v>1.7500000000000002E-2</v>
      </c>
      <c r="C49" s="5">
        <f t="shared" si="12"/>
        <v>1.7500000000000002</v>
      </c>
      <c r="D49" s="2">
        <v>100</v>
      </c>
      <c r="E49" s="5">
        <f t="shared" si="13"/>
        <v>101.75</v>
      </c>
      <c r="F49" s="5">
        <f t="shared" si="14"/>
        <v>1.75</v>
      </c>
      <c r="I49" s="80">
        <f t="shared" si="15"/>
        <v>0.46041823742457677</v>
      </c>
      <c r="J49" s="80">
        <f t="shared" si="15"/>
        <v>0.76638464892343283</v>
      </c>
      <c r="K49" s="80">
        <f t="shared" si="15"/>
        <v>0.83247400311716102</v>
      </c>
      <c r="L49" s="80">
        <f t="shared" si="15"/>
        <v>0.86278177897821295</v>
      </c>
      <c r="M49" s="80">
        <f t="shared" si="15"/>
        <v>0.88108141658255956</v>
      </c>
      <c r="N49" s="80">
        <f t="shared" si="15"/>
        <v>0.89362805288385949</v>
      </c>
      <c r="O49" s="80">
        <f t="shared" si="15"/>
        <v>0.90289220014692995</v>
      </c>
      <c r="P49" s="80">
        <f t="shared" si="15"/>
        <v>0.93310618554074742</v>
      </c>
      <c r="Q49" s="80">
        <f t="shared" si="15"/>
        <v>0.95011925426103216</v>
      </c>
      <c r="R49" s="80">
        <f t="shared" si="15"/>
        <v>0.9557170438673146</v>
      </c>
      <c r="S49" s="80">
        <f t="shared" si="15"/>
        <v>0.95762361796056272</v>
      </c>
      <c r="T49" s="80">
        <f t="shared" si="15"/>
        <v>0.95766893980254275</v>
      </c>
    </row>
    <row r="50" spans="1:20" x14ac:dyDescent="0.35">
      <c r="A50">
        <f t="shared" si="16"/>
        <v>8</v>
      </c>
      <c r="B50" s="8">
        <f t="shared" si="10"/>
        <v>0.02</v>
      </c>
      <c r="C50" s="5">
        <f t="shared" si="12"/>
        <v>2</v>
      </c>
      <c r="D50" s="2">
        <v>100</v>
      </c>
      <c r="E50" s="5">
        <f t="shared" si="13"/>
        <v>102</v>
      </c>
      <c r="F50" s="5">
        <f t="shared" si="14"/>
        <v>2</v>
      </c>
      <c r="I50" s="80">
        <f t="shared" si="15"/>
        <v>0.40616165361910345</v>
      </c>
      <c r="J50" s="80">
        <f t="shared" si="15"/>
        <v>0.73655929323818703</v>
      </c>
      <c r="K50" s="80">
        <f t="shared" si="15"/>
        <v>0.81038690538000235</v>
      </c>
      <c r="L50" s="80">
        <f t="shared" si="15"/>
        <v>0.84447916012860402</v>
      </c>
      <c r="M50" s="80">
        <f t="shared" si="15"/>
        <v>0.86514001260502393</v>
      </c>
      <c r="N50" s="80">
        <f t="shared" si="15"/>
        <v>0.87934330742091804</v>
      </c>
      <c r="O50" s="80">
        <f t="shared" si="15"/>
        <v>0.88985394863702916</v>
      </c>
      <c r="P50" s="80">
        <f t="shared" si="15"/>
        <v>0.92434967798917889</v>
      </c>
      <c r="Q50" s="80">
        <f t="shared" si="15"/>
        <v>0.94417831041076949</v>
      </c>
      <c r="R50" s="80">
        <f t="shared" si="15"/>
        <v>0.95104943256553742</v>
      </c>
      <c r="S50" s="80">
        <f t="shared" si="15"/>
        <v>0.95372160062947264</v>
      </c>
      <c r="T50" s="80">
        <f t="shared" si="15"/>
        <v>0.95380103114272341</v>
      </c>
    </row>
    <row r="51" spans="1:20" x14ac:dyDescent="0.35">
      <c r="A51">
        <f t="shared" si="16"/>
        <v>9</v>
      </c>
      <c r="B51" s="8">
        <f t="shared" si="10"/>
        <v>2.2499999999999999E-2</v>
      </c>
      <c r="C51" s="5">
        <f t="shared" si="12"/>
        <v>2.25</v>
      </c>
      <c r="D51" s="2">
        <v>100</v>
      </c>
      <c r="E51" s="5">
        <f t="shared" si="13"/>
        <v>102.25</v>
      </c>
      <c r="F51" s="5">
        <f t="shared" si="14"/>
        <v>2.25</v>
      </c>
      <c r="I51" s="80">
        <f t="shared" si="15"/>
        <v>0.35694548577429541</v>
      </c>
      <c r="J51" s="80">
        <f t="shared" si="15"/>
        <v>0.70758730725899399</v>
      </c>
      <c r="K51" s="80">
        <f t="shared" si="15"/>
        <v>0.78873223425581052</v>
      </c>
      <c r="L51" s="80">
        <f t="shared" si="15"/>
        <v>0.82646594662439121</v>
      </c>
      <c r="M51" s="80">
        <f t="shared" si="15"/>
        <v>0.84941599040956306</v>
      </c>
      <c r="N51" s="80">
        <f t="shared" si="15"/>
        <v>0.86523256483238964</v>
      </c>
      <c r="O51" s="80">
        <f t="shared" si="15"/>
        <v>0.87696071196500924</v>
      </c>
      <c r="P51" s="80">
        <f t="shared" si="15"/>
        <v>0.91566061516685282</v>
      </c>
      <c r="Q51" s="80">
        <f t="shared" si="15"/>
        <v>0.93827075375276892</v>
      </c>
      <c r="R51" s="80">
        <f t="shared" si="15"/>
        <v>0.94640384190747684</v>
      </c>
      <c r="S51" s="80">
        <f t="shared" si="15"/>
        <v>0.94983591955389635</v>
      </c>
      <c r="T51" s="80">
        <f t="shared" si="15"/>
        <v>0.94994922514690527</v>
      </c>
    </row>
    <row r="52" spans="1:20" x14ac:dyDescent="0.35">
      <c r="A52">
        <f t="shared" si="16"/>
        <v>10</v>
      </c>
      <c r="B52" s="8">
        <f t="shared" si="10"/>
        <v>2.5000000000000001E-2</v>
      </c>
      <c r="C52" s="5">
        <f t="shared" si="12"/>
        <v>2.5</v>
      </c>
      <c r="D52" s="2">
        <v>100</v>
      </c>
      <c r="E52" s="5">
        <f t="shared" si="13"/>
        <v>102.5</v>
      </c>
      <c r="F52" s="5">
        <f t="shared" si="14"/>
        <v>2.5</v>
      </c>
      <c r="I52" s="80">
        <f t="shared" si="15"/>
        <v>0.31249617822921832</v>
      </c>
      <c r="J52" s="80">
        <f t="shared" si="15"/>
        <v>0.67945924962892545</v>
      </c>
      <c r="K52" s="80">
        <f t="shared" si="15"/>
        <v>0.76750680207372002</v>
      </c>
      <c r="L52" s="80">
        <f t="shared" si="15"/>
        <v>0.80874036217249545</v>
      </c>
      <c r="M52" s="80">
        <f t="shared" si="15"/>
        <v>0.83390815000301077</v>
      </c>
      <c r="N52" s="80">
        <f t="shared" si="15"/>
        <v>0.85129492908961757</v>
      </c>
      <c r="O52" s="80">
        <f t="shared" si="15"/>
        <v>0.86421177922633119</v>
      </c>
      <c r="P52" s="80">
        <f t="shared" si="15"/>
        <v>0.90703871092385435</v>
      </c>
      <c r="Q52" s="80">
        <f t="shared" si="15"/>
        <v>0.93239645227295209</v>
      </c>
      <c r="R52" s="80">
        <f t="shared" si="15"/>
        <v>0.94178018694230103</v>
      </c>
      <c r="S52" s="80">
        <f t="shared" si="15"/>
        <v>0.94596651249838892</v>
      </c>
      <c r="T52" s="80">
        <f t="shared" si="15"/>
        <v>0.94611346050139811</v>
      </c>
    </row>
    <row r="53" spans="1:20" x14ac:dyDescent="0.35">
      <c r="A53">
        <f t="shared" si="16"/>
        <v>11</v>
      </c>
      <c r="B53" s="8">
        <f t="shared" si="10"/>
        <v>2.75E-2</v>
      </c>
      <c r="C53" s="5">
        <f t="shared" si="12"/>
        <v>2.75</v>
      </c>
      <c r="D53" s="2">
        <v>100</v>
      </c>
      <c r="E53" s="5">
        <f t="shared" si="13"/>
        <v>102.75</v>
      </c>
      <c r="F53" s="5">
        <f t="shared" si="14"/>
        <v>2.75</v>
      </c>
      <c r="I53" s="80">
        <f t="shared" si="15"/>
        <v>0.27252844906680646</v>
      </c>
      <c r="J53" s="80">
        <f t="shared" si="15"/>
        <v>0.65216508474584278</v>
      </c>
      <c r="K53" s="80">
        <f t="shared" si="15"/>
        <v>0.74670726817141408</v>
      </c>
      <c r="L53" s="80">
        <f t="shared" si="15"/>
        <v>0.79130056328850951</v>
      </c>
      <c r="M53" s="80">
        <f t="shared" si="15"/>
        <v>0.81861525444752359</v>
      </c>
      <c r="N53" s="80">
        <f t="shared" si="15"/>
        <v>0.83752948116557036</v>
      </c>
      <c r="O53" s="80">
        <f t="shared" si="15"/>
        <v>0.85160642402924336</v>
      </c>
      <c r="P53" s="80">
        <f t="shared" si="15"/>
        <v>0.89848367652070127</v>
      </c>
      <c r="Q53" s="80">
        <f t="shared" si="15"/>
        <v>0.92655527368571711</v>
      </c>
      <c r="R53" s="80">
        <f t="shared" si="15"/>
        <v>0.93717838276323606</v>
      </c>
      <c r="S53" s="80">
        <f t="shared" si="15"/>
        <v>0.94211331734309955</v>
      </c>
      <c r="T53" s="80">
        <f t="shared" si="15"/>
        <v>0.94229367600980851</v>
      </c>
    </row>
    <row r="54" spans="1:20" x14ac:dyDescent="0.35">
      <c r="A54">
        <f t="shared" si="16"/>
        <v>12</v>
      </c>
      <c r="B54" s="8">
        <f t="shared" si="10"/>
        <v>0.03</v>
      </c>
      <c r="C54" s="5">
        <f t="shared" si="12"/>
        <v>3</v>
      </c>
      <c r="D54" s="2">
        <v>100</v>
      </c>
      <c r="E54" s="5">
        <f t="shared" si="13"/>
        <v>103</v>
      </c>
      <c r="F54" s="5">
        <f t="shared" si="14"/>
        <v>3</v>
      </c>
      <c r="I54" s="80">
        <f t="shared" si="15"/>
        <v>0.23674943631179354</v>
      </c>
      <c r="J54" s="80">
        <f t="shared" si="15"/>
        <v>0.6256942116223061</v>
      </c>
      <c r="K54" s="80">
        <f t="shared" si="15"/>
        <v>0.72633014413943919</v>
      </c>
      <c r="L54" s="80">
        <f t="shared" si="15"/>
        <v>0.77414464130829408</v>
      </c>
      <c r="M54" s="80">
        <f t="shared" si="15"/>
        <v>0.80353603089524372</v>
      </c>
      <c r="N54" s="80">
        <f t="shared" si="15"/>
        <v>0.82393527965671265</v>
      </c>
      <c r="O54" s="80">
        <f t="shared" si="15"/>
        <v>0.83914390490622892</v>
      </c>
      <c r="P54" s="80">
        <f t="shared" si="15"/>
        <v>0.88999522070159687</v>
      </c>
      <c r="Q54" s="80">
        <f t="shared" si="15"/>
        <v>0.92074708544789008</v>
      </c>
      <c r="R54" s="80">
        <f t="shared" si="15"/>
        <v>0.93259834451215462</v>
      </c>
      <c r="S54" s="80">
        <f t="shared" si="15"/>
        <v>0.9382762720855059</v>
      </c>
      <c r="T54" s="80">
        <f t="shared" si="15"/>
        <v>0.93848981059469228</v>
      </c>
    </row>
    <row r="55" spans="1:20" x14ac:dyDescent="0.35">
      <c r="A55">
        <f t="shared" si="16"/>
        <v>13</v>
      </c>
      <c r="B55" s="8">
        <f t="shared" ref="B55:B66" si="17">0%+$F$38*A55</f>
        <v>3.2500000000000001E-2</v>
      </c>
      <c r="C55" s="5">
        <f t="shared" si="12"/>
        <v>3.25</v>
      </c>
      <c r="D55" s="2">
        <v>100</v>
      </c>
      <c r="E55" s="5">
        <f t="shared" si="13"/>
        <v>103.25</v>
      </c>
      <c r="F55" s="5">
        <f t="shared" si="14"/>
        <v>3.25</v>
      </c>
      <c r="I55" s="80">
        <f t="shared" si="15"/>
        <v>0.20486267603278749</v>
      </c>
      <c r="J55" s="80">
        <f t="shared" si="15"/>
        <v>0.60003549355641228</v>
      </c>
      <c r="K55" s="80">
        <f t="shared" si="15"/>
        <v>0.70637179916236148</v>
      </c>
      <c r="L55" s="80">
        <f t="shared" si="15"/>
        <v>0.75727062442270843</v>
      </c>
      <c r="M55" s="80">
        <f t="shared" si="15"/>
        <v>0.7886691716299945</v>
      </c>
      <c r="N55" s="80">
        <f t="shared" si="15"/>
        <v>0.81051136140697833</v>
      </c>
      <c r="O55" s="80">
        <f t="shared" si="15"/>
        <v>0.82682346572583632</v>
      </c>
      <c r="P55" s="80">
        <f t="shared" si="15"/>
        <v>0.88157304976714712</v>
      </c>
      <c r="Q55" s="80">
        <f t="shared" si="15"/>
        <v>0.91497175477250836</v>
      </c>
      <c r="R55" s="80">
        <f t="shared" si="15"/>
        <v>0.92803998738409943</v>
      </c>
      <c r="S55" s="80">
        <f t="shared" si="15"/>
        <v>0.93445531484211952</v>
      </c>
      <c r="T55" s="80">
        <f t="shared" si="15"/>
        <v>0.93470180329916297</v>
      </c>
    </row>
    <row r="56" spans="1:20" x14ac:dyDescent="0.35">
      <c r="A56">
        <f t="shared" si="16"/>
        <v>14</v>
      </c>
      <c r="B56" s="8">
        <f t="shared" si="17"/>
        <v>3.5000000000000003E-2</v>
      </c>
      <c r="C56" s="5">
        <f t="shared" si="12"/>
        <v>3.5000000000000004</v>
      </c>
      <c r="D56" s="2">
        <v>100</v>
      </c>
      <c r="E56" s="5">
        <f t="shared" si="13"/>
        <v>103.5</v>
      </c>
      <c r="F56" s="5">
        <f t="shared" si="14"/>
        <v>3.5</v>
      </c>
      <c r="I56" s="80">
        <f t="shared" si="15"/>
        <v>0.17657183278676292</v>
      </c>
      <c r="J56" s="80">
        <f t="shared" si="15"/>
        <v>0.57517728848836747</v>
      </c>
      <c r="K56" s="80">
        <f t="shared" si="15"/>
        <v>0.68682846544512333</v>
      </c>
      <c r="L56" s="80">
        <f t="shared" si="15"/>
        <v>0.7406764797325498</v>
      </c>
      <c r="M56" s="80">
        <f t="shared" si="15"/>
        <v>0.77401333511489778</v>
      </c>
      <c r="N56" s="80">
        <f t="shared" si="15"/>
        <v>0.79725674213336295</v>
      </c>
      <c r="O56" s="80">
        <f t="shared" si="15"/>
        <v>0.81464433610458287</v>
      </c>
      <c r="P56" s="80">
        <f t="shared" si="15"/>
        <v>0.87321686764652096</v>
      </c>
      <c r="Q56" s="80">
        <f t="shared" si="15"/>
        <v>0.90922914864242055</v>
      </c>
      <c r="R56" s="80">
        <f t="shared" si="15"/>
        <v>0.92350322663172524</v>
      </c>
      <c r="S56" s="80">
        <f t="shared" si="15"/>
        <v>0.93065038385015042</v>
      </c>
      <c r="T56" s="80">
        <f t="shared" si="15"/>
        <v>0.93092959328846836</v>
      </c>
    </row>
    <row r="57" spans="1:20" x14ac:dyDescent="0.35">
      <c r="A57">
        <f t="shared" si="16"/>
        <v>15</v>
      </c>
      <c r="B57" s="8">
        <f t="shared" si="17"/>
        <v>3.7499999999999999E-2</v>
      </c>
      <c r="C57" s="5">
        <f t="shared" si="12"/>
        <v>3.75</v>
      </c>
      <c r="D57" s="2">
        <v>100</v>
      </c>
      <c r="E57" s="5">
        <f t="shared" si="13"/>
        <v>103.75</v>
      </c>
      <c r="F57" s="5">
        <f t="shared" si="14"/>
        <v>3.75</v>
      </c>
      <c r="I57" s="80">
        <f t="shared" si="15"/>
        <v>0.15158411676008648</v>
      </c>
      <c r="J57" s="80">
        <f t="shared" si="15"/>
        <v>0.55110747991840692</v>
      </c>
      <c r="K57" s="80">
        <f t="shared" si="15"/>
        <v>0.66769624371302072</v>
      </c>
      <c r="L57" s="80">
        <f t="shared" si="15"/>
        <v>0.72436011532088085</v>
      </c>
      <c r="M57" s="80">
        <f t="shared" si="15"/>
        <v>0.75956714704484662</v>
      </c>
      <c r="N57" s="80">
        <f t="shared" si="15"/>
        <v>0.78417041705266521</v>
      </c>
      <c r="O57" s="80">
        <f t="shared" si="15"/>
        <v>0.80260573181873196</v>
      </c>
      <c r="P57" s="80">
        <f t="shared" si="15"/>
        <v>0.86492637596904287</v>
      </c>
      <c r="Q57" s="80">
        <f t="shared" si="15"/>
        <v>0.90351913382371718</v>
      </c>
      <c r="R57" s="80">
        <f t="shared" si="15"/>
        <v>0.91898797756967743</v>
      </c>
      <c r="S57" s="80">
        <f t="shared" si="15"/>
        <v>0.92686141746914352</v>
      </c>
      <c r="T57" s="80">
        <f t="shared" si="15"/>
        <v>0.92717311985153794</v>
      </c>
    </row>
    <row r="58" spans="1:20" x14ac:dyDescent="0.35">
      <c r="A58">
        <f t="shared" si="16"/>
        <v>16</v>
      </c>
      <c r="B58" s="8">
        <f t="shared" si="17"/>
        <v>0.04</v>
      </c>
      <c r="C58" s="5">
        <f t="shared" si="12"/>
        <v>4</v>
      </c>
      <c r="D58" s="2">
        <v>100</v>
      </c>
      <c r="E58" s="5">
        <f t="shared" si="13"/>
        <v>104</v>
      </c>
      <c r="F58" s="5">
        <f t="shared" si="14"/>
        <v>4</v>
      </c>
      <c r="I58" s="80">
        <f t="shared" si="15"/>
        <v>0.12961333688924104</v>
      </c>
      <c r="J58" s="80">
        <f t="shared" si="15"/>
        <v>0.52781350826346396</v>
      </c>
      <c r="K58" s="80">
        <f t="shared" si="15"/>
        <v>0.64897110877399122</v>
      </c>
      <c r="L58" s="80">
        <f t="shared" si="15"/>
        <v>0.70831938233987168</v>
      </c>
      <c r="M58" s="80">
        <f t="shared" si="15"/>
        <v>0.74532920140280279</v>
      </c>
      <c r="N58" s="80">
        <f t="shared" si="15"/>
        <v>0.77125136150883156</v>
      </c>
      <c r="O58" s="80">
        <f t="shared" si="15"/>
        <v>0.79070685521562345</v>
      </c>
      <c r="P58" s="80">
        <f t="shared" si="15"/>
        <v>0.8567012741352189</v>
      </c>
      <c r="Q58" s="80">
        <f t="shared" si="15"/>
        <v>0.89784157687898247</v>
      </c>
      <c r="R58" s="80">
        <f t="shared" si="15"/>
        <v>0.9144941555788918</v>
      </c>
      <c r="S58" s="80">
        <f t="shared" si="15"/>
        <v>0.92308835418257273</v>
      </c>
      <c r="T58" s="80">
        <f t="shared" si="15"/>
        <v>0.92343232240249196</v>
      </c>
    </row>
    <row r="59" spans="1:20" x14ac:dyDescent="0.35">
      <c r="A59">
        <f t="shared" si="16"/>
        <v>17</v>
      </c>
      <c r="B59" s="8">
        <f t="shared" si="17"/>
        <v>4.2500000000000003E-2</v>
      </c>
      <c r="C59" s="5">
        <f t="shared" si="12"/>
        <v>4.25</v>
      </c>
      <c r="D59" s="2">
        <v>100</v>
      </c>
      <c r="E59" s="5">
        <f t="shared" si="13"/>
        <v>104.25</v>
      </c>
      <c r="F59" s="5">
        <f t="shared" si="14"/>
        <v>4.25</v>
      </c>
      <c r="I59" s="80">
        <f t="shared" ref="I59:T66" si="18">($E59*NORMDIST(LN($E59/$D59)/($F$39*SQRT(I$41))+0.5*$F$39*SQRT(I$41),0,1,TRUE)-$D59*NORMDIST(LN($E59/$D59)/($F$39*SQRT(I$41))-0.5*$F$39*SQRT(I$41),0,1,TRUE)-$F59)/I$39</f>
        <v>0.11038255448727366</v>
      </c>
      <c r="J59" s="80">
        <f t="shared" si="18"/>
        <v>0.50528240253164358</v>
      </c>
      <c r="K59" s="80">
        <f t="shared" si="18"/>
        <v>0.6306489151319582</v>
      </c>
      <c r="L59" s="80">
        <f t="shared" si="18"/>
        <v>0.69255207710929156</v>
      </c>
      <c r="M59" s="80">
        <f t="shared" si="18"/>
        <v>0.73129806151881971</v>
      </c>
      <c r="N59" s="80">
        <f t="shared" si="18"/>
        <v>0.75849853160051073</v>
      </c>
      <c r="O59" s="80">
        <f t="shared" si="18"/>
        <v>0.77894689562437924</v>
      </c>
      <c r="P59" s="80">
        <f t="shared" si="18"/>
        <v>0.84854125938716052</v>
      </c>
      <c r="Q59" s="80">
        <f t="shared" si="18"/>
        <v>0.89219634418037552</v>
      </c>
      <c r="R59" s="80">
        <f t="shared" si="18"/>
        <v>0.91002167611082718</v>
      </c>
      <c r="S59" s="80">
        <f t="shared" si="18"/>
        <v>0.91933113259940491</v>
      </c>
      <c r="T59" s="80">
        <f t="shared" si="18"/>
        <v>0.91970714048212066</v>
      </c>
    </row>
    <row r="60" spans="1:20" x14ac:dyDescent="0.35">
      <c r="A60">
        <f t="shared" si="16"/>
        <v>18</v>
      </c>
      <c r="B60" s="8">
        <f t="shared" si="17"/>
        <v>4.4999999999999998E-2</v>
      </c>
      <c r="C60" s="5">
        <f t="shared" si="12"/>
        <v>4.5</v>
      </c>
      <c r="D60" s="2">
        <v>100</v>
      </c>
      <c r="E60" s="5">
        <f t="shared" si="13"/>
        <v>104.5</v>
      </c>
      <c r="F60" s="5">
        <f t="shared" si="14"/>
        <v>4.5</v>
      </c>
      <c r="I60" s="80">
        <f t="shared" si="18"/>
        <v>9.3626316819313493E-2</v>
      </c>
      <c r="J60" s="80">
        <f t="shared" si="18"/>
        <v>0.48350081219671065</v>
      </c>
      <c r="K60" s="80">
        <f t="shared" si="18"/>
        <v>0.61272540264028574</v>
      </c>
      <c r="L60" s="80">
        <f t="shared" si="18"/>
        <v>0.67705594322410756</v>
      </c>
      <c r="M60" s="80">
        <f t="shared" si="18"/>
        <v>0.71747226113090112</v>
      </c>
      <c r="N60" s="80">
        <f t="shared" si="18"/>
        <v>0.74591086480828517</v>
      </c>
      <c r="O60" s="80">
        <f t="shared" si="18"/>
        <v>0.7673250297656955</v>
      </c>
      <c r="P60" s="80">
        <f t="shared" si="18"/>
        <v>0.84044602687841907</v>
      </c>
      <c r="Q60" s="80">
        <f t="shared" si="18"/>
        <v>0.88658330192253487</v>
      </c>
      <c r="R60" s="80">
        <f t="shared" si="18"/>
        <v>0.90557045469162323</v>
      </c>
      <c r="S60" s="80">
        <f t="shared" si="18"/>
        <v>0.91558969145563185</v>
      </c>
      <c r="T60" s="80">
        <f t="shared" si="18"/>
        <v>0.91599751375933003</v>
      </c>
    </row>
    <row r="61" spans="1:20" x14ac:dyDescent="0.35">
      <c r="A61">
        <f t="shared" si="16"/>
        <v>19</v>
      </c>
      <c r="B61" s="8">
        <f t="shared" si="17"/>
        <v>4.7500000000000001E-2</v>
      </c>
      <c r="C61" s="5">
        <f t="shared" si="12"/>
        <v>4.75</v>
      </c>
      <c r="D61" s="2">
        <v>100</v>
      </c>
      <c r="E61" s="5">
        <f t="shared" si="13"/>
        <v>104.75</v>
      </c>
      <c r="F61" s="5">
        <f t="shared" si="14"/>
        <v>4.75</v>
      </c>
      <c r="I61" s="80">
        <f t="shared" si="18"/>
        <v>7.9092464105943588E-2</v>
      </c>
      <c r="J61" s="80">
        <f t="shared" si="18"/>
        <v>0.4624550391575476</v>
      </c>
      <c r="K61" s="80">
        <f t="shared" si="18"/>
        <v>0.59519620218450076</v>
      </c>
      <c r="L61" s="80">
        <f t="shared" si="18"/>
        <v>0.66182867366832976</v>
      </c>
      <c r="M61" s="80">
        <f t="shared" si="18"/>
        <v>0.70385030544659077</v>
      </c>
      <c r="N61" s="80">
        <f t="shared" si="18"/>
        <v>0.73348728062119917</v>
      </c>
      <c r="O61" s="80">
        <f t="shared" si="18"/>
        <v>0.75584042216051794</v>
      </c>
      <c r="P61" s="80">
        <f t="shared" si="18"/>
        <v>0.83241526974321078</v>
      </c>
      <c r="Q61" s="80">
        <f t="shared" si="18"/>
        <v>0.88100231613531976</v>
      </c>
      <c r="R61" s="80">
        <f t="shared" si="18"/>
        <v>0.90114040692619901</v>
      </c>
      <c r="S61" s="80">
        <f t="shared" si="18"/>
        <v>0.91186396961576743</v>
      </c>
      <c r="T61" s="80">
        <f t="shared" si="18"/>
        <v>0.91230338203255601</v>
      </c>
    </row>
    <row r="62" spans="1:20" x14ac:dyDescent="0.35">
      <c r="A62">
        <f t="shared" si="16"/>
        <v>20</v>
      </c>
      <c r="B62" s="8">
        <f t="shared" si="17"/>
        <v>0.05</v>
      </c>
      <c r="C62" s="5">
        <f t="shared" si="12"/>
        <v>5</v>
      </c>
      <c r="D62" s="2">
        <v>100</v>
      </c>
      <c r="E62" s="5">
        <f t="shared" si="13"/>
        <v>105</v>
      </c>
      <c r="F62" s="5">
        <f t="shared" si="14"/>
        <v>5</v>
      </c>
      <c r="I62" s="80">
        <f t="shared" si="18"/>
        <v>6.6543516132217304E-2</v>
      </c>
      <c r="J62" s="80">
        <f t="shared" si="18"/>
        <v>0.44213106967140975</v>
      </c>
      <c r="K62" s="80">
        <f t="shared" si="18"/>
        <v>0.57805684138376989</v>
      </c>
      <c r="L62" s="80">
        <f t="shared" si="18"/>
        <v>0.64686791293257595</v>
      </c>
      <c r="M62" s="80">
        <f t="shared" si="18"/>
        <v>0.69043067220441035</v>
      </c>
      <c r="N62" s="80">
        <f t="shared" si="18"/>
        <v>0.72122668116208299</v>
      </c>
      <c r="O62" s="80">
        <f t="shared" si="18"/>
        <v>0.74449222553735772</v>
      </c>
      <c r="P62" s="80">
        <f t="shared" si="18"/>
        <v>0.82444867916501174</v>
      </c>
      <c r="Q62" s="80">
        <f t="shared" si="18"/>
        <v>0.87545325269637031</v>
      </c>
      <c r="R62" s="80">
        <f t="shared" si="18"/>
        <v>0.89673144850226716</v>
      </c>
      <c r="S62" s="80">
        <f t="shared" si="18"/>
        <v>0.90815390607430879</v>
      </c>
      <c r="T62" s="80">
        <f t="shared" si="18"/>
        <v>0.90862468523114803</v>
      </c>
    </row>
    <row r="63" spans="1:20" x14ac:dyDescent="0.35">
      <c r="A63">
        <f t="shared" si="16"/>
        <v>21</v>
      </c>
      <c r="B63" s="8">
        <f t="shared" si="17"/>
        <v>5.2499999999999998E-2</v>
      </c>
      <c r="C63" s="5">
        <f t="shared" si="12"/>
        <v>5.25</v>
      </c>
      <c r="D63" s="2">
        <v>100</v>
      </c>
      <c r="E63" s="5">
        <f t="shared" si="13"/>
        <v>105.25</v>
      </c>
      <c r="F63" s="5">
        <f t="shared" si="14"/>
        <v>5.25</v>
      </c>
      <c r="I63" s="80">
        <f t="shared" si="18"/>
        <v>5.5757655661290879E-2</v>
      </c>
      <c r="J63" s="80">
        <f t="shared" si="18"/>
        <v>0.42251460615366093</v>
      </c>
      <c r="K63" s="80">
        <f t="shared" si="18"/>
        <v>0.56130275030082033</v>
      </c>
      <c r="L63" s="80">
        <f t="shared" si="18"/>
        <v>0.63217125913281502</v>
      </c>
      <c r="M63" s="80">
        <f t="shared" si="18"/>
        <v>0.67721181273416886</v>
      </c>
      <c r="N63" s="80">
        <f t="shared" si="18"/>
        <v>0.70912795181131238</v>
      </c>
      <c r="O63" s="80">
        <f t="shared" si="18"/>
        <v>0.73327958123802961</v>
      </c>
      <c r="P63" s="80">
        <f t="shared" si="18"/>
        <v>0.81654594444453799</v>
      </c>
      <c r="Q63" s="80">
        <f t="shared" si="18"/>
        <v>0.86993597734350614</v>
      </c>
      <c r="R63" s="80">
        <f t="shared" si="18"/>
        <v>0.89234349519429457</v>
      </c>
      <c r="S63" s="80">
        <f t="shared" si="18"/>
        <v>0.90445943995717126</v>
      </c>
      <c r="T63" s="80">
        <f t="shared" si="18"/>
        <v>0.90496136341671674</v>
      </c>
    </row>
    <row r="64" spans="1:20" x14ac:dyDescent="0.35">
      <c r="A64">
        <f t="shared" si="16"/>
        <v>22</v>
      </c>
      <c r="B64" s="8">
        <f t="shared" si="17"/>
        <v>5.5E-2</v>
      </c>
      <c r="C64" s="5">
        <f t="shared" si="12"/>
        <v>5.5</v>
      </c>
      <c r="D64" s="2">
        <v>100</v>
      </c>
      <c r="E64" s="5">
        <f t="shared" si="13"/>
        <v>105.5</v>
      </c>
      <c r="F64" s="5">
        <f t="shared" si="14"/>
        <v>5.5</v>
      </c>
      <c r="I64" s="80">
        <f t="shared" si="18"/>
        <v>4.6529334969647861E-2</v>
      </c>
      <c r="J64" s="80">
        <f t="shared" si="18"/>
        <v>0.40359109874138427</v>
      </c>
      <c r="K64" s="80">
        <f t="shared" si="18"/>
        <v>0.54492926715029244</v>
      </c>
      <c r="L64" s="80">
        <f t="shared" si="18"/>
        <v>0.61773626612776344</v>
      </c>
      <c r="M64" s="80">
        <f t="shared" si="18"/>
        <v>0.66419215301527124</v>
      </c>
      <c r="N64" s="80">
        <f t="shared" si="18"/>
        <v>0.69718996182852877</v>
      </c>
      <c r="O64" s="80">
        <f t="shared" si="18"/>
        <v>0.72220161962161977</v>
      </c>
      <c r="P64" s="80">
        <f t="shared" si="18"/>
        <v>0.80870675306707607</v>
      </c>
      <c r="Q64" s="80">
        <f t="shared" si="18"/>
        <v>0.86445035568695028</v>
      </c>
      <c r="R64" s="80">
        <f t="shared" si="18"/>
        <v>0.88797646286738596</v>
      </c>
      <c r="S64" s="80">
        <f t="shared" si="18"/>
        <v>0.90078051052308683</v>
      </c>
      <c r="T64" s="80">
        <f t="shared" si="18"/>
        <v>0.9013133567844609</v>
      </c>
    </row>
    <row r="65" spans="1:22" x14ac:dyDescent="0.35">
      <c r="A65">
        <f t="shared" si="16"/>
        <v>23</v>
      </c>
      <c r="B65" s="8">
        <f t="shared" si="17"/>
        <v>5.7500000000000002E-2</v>
      </c>
      <c r="C65" s="5">
        <f t="shared" si="12"/>
        <v>5.75</v>
      </c>
      <c r="D65" s="2">
        <v>100</v>
      </c>
      <c r="E65" s="5">
        <f t="shared" si="13"/>
        <v>105.75</v>
      </c>
      <c r="F65" s="5">
        <f t="shared" si="14"/>
        <v>5.75</v>
      </c>
      <c r="I65" s="80">
        <f t="shared" si="18"/>
        <v>3.8669538923530429E-2</v>
      </c>
      <c r="J65" s="80">
        <f t="shared" si="18"/>
        <v>0.38534577652272844</v>
      </c>
      <c r="K65" s="80">
        <f t="shared" si="18"/>
        <v>0.52893164399585391</v>
      </c>
      <c r="L65" s="80">
        <f t="shared" si="18"/>
        <v>0.60356044563253874</v>
      </c>
      <c r="M65" s="80">
        <f t="shared" si="18"/>
        <v>0.65137009473207952</v>
      </c>
      <c r="N65" s="80">
        <f t="shared" si="18"/>
        <v>0.68541156497195344</v>
      </c>
      <c r="O65" s="80">
        <f t="shared" si="18"/>
        <v>0.71125746046644711</v>
      </c>
      <c r="P65" s="80">
        <f t="shared" si="18"/>
        <v>0.80093079076917373</v>
      </c>
      <c r="Q65" s="80">
        <f t="shared" si="18"/>
        <v>0.85899625322138784</v>
      </c>
      <c r="R65" s="80">
        <f t="shared" si="18"/>
        <v>0.88363026748110862</v>
      </c>
      <c r="S65" s="80">
        <f t="shared" si="18"/>
        <v>0.89711705716497558</v>
      </c>
      <c r="T65" s="80">
        <f t="shared" si="18"/>
        <v>0.89768060566445262</v>
      </c>
    </row>
    <row r="66" spans="1:22" x14ac:dyDescent="0.35">
      <c r="A66">
        <f t="shared" si="16"/>
        <v>24</v>
      </c>
      <c r="B66" s="8">
        <f t="shared" si="17"/>
        <v>0.06</v>
      </c>
      <c r="C66" s="5">
        <f t="shared" si="12"/>
        <v>6</v>
      </c>
      <c r="D66" s="2">
        <v>100</v>
      </c>
      <c r="E66" s="5">
        <f t="shared" si="13"/>
        <v>106</v>
      </c>
      <c r="F66" s="5">
        <f t="shared" si="14"/>
        <v>6</v>
      </c>
      <c r="I66" s="80">
        <f t="shared" si="18"/>
        <v>3.2005743095255564E-2</v>
      </c>
      <c r="J66" s="80">
        <f t="shared" si="18"/>
        <v>0.36776367833924972</v>
      </c>
      <c r="K66" s="80">
        <f t="shared" si="18"/>
        <v>0.5133050524266124</v>
      </c>
      <c r="L66" s="80">
        <f t="shared" si="18"/>
        <v>0.58964126932621452</v>
      </c>
      <c r="M66" s="80">
        <f t="shared" si="18"/>
        <v>0.63874401632552946</v>
      </c>
      <c r="N66" s="80">
        <f t="shared" si="18"/>
        <v>0.67379160011492445</v>
      </c>
      <c r="O66" s="80">
        <f t="shared" si="18"/>
        <v>0.70044621336983282</v>
      </c>
      <c r="P66" s="80">
        <f t="shared" si="18"/>
        <v>0.7932177416046855</v>
      </c>
      <c r="Q66" s="80">
        <f t="shared" si="18"/>
        <v>0.8535735353378594</v>
      </c>
      <c r="R66" s="80">
        <f t="shared" si="18"/>
        <v>0.87930482509324215</v>
      </c>
      <c r="S66" s="80">
        <f t="shared" si="18"/>
        <v>0.89346901941127876</v>
      </c>
      <c r="T66" s="80">
        <f t="shared" si="18"/>
        <v>0.89406305052290136</v>
      </c>
    </row>
    <row r="68" spans="1:22" x14ac:dyDescent="0.35">
      <c r="I68" s="80">
        <f>-SLOPE(LN(I$42:I$66),$B$42:$B$66)</f>
        <v>57.262509916895269</v>
      </c>
      <c r="J68" s="80">
        <f t="shared" ref="J68:T68" si="19">-SLOPE(LN(J$42:J$66),$B$42:$B$66)</f>
        <v>16.665219411849971</v>
      </c>
      <c r="K68" s="80">
        <f t="shared" si="19"/>
        <v>11.105562522473852</v>
      </c>
      <c r="L68" s="80">
        <f t="shared" si="19"/>
        <v>8.7902729962633117</v>
      </c>
      <c r="M68" s="80">
        <f t="shared" si="19"/>
        <v>7.4523126797266874</v>
      </c>
      <c r="N68" s="80">
        <f t="shared" si="19"/>
        <v>6.5571827158850962</v>
      </c>
      <c r="O68" s="80">
        <f t="shared" si="19"/>
        <v>5.9057233251526977</v>
      </c>
      <c r="P68" s="80">
        <f t="shared" si="19"/>
        <v>3.7996635145042674</v>
      </c>
      <c r="Q68" s="80">
        <f t="shared" si="19"/>
        <v>2.5159085762414755</v>
      </c>
      <c r="R68" s="80">
        <f t="shared" si="19"/>
        <v>1.9596677350827278</v>
      </c>
      <c r="S68" s="80">
        <f t="shared" si="19"/>
        <v>1.632300703903016</v>
      </c>
      <c r="T68" s="80">
        <f t="shared" si="19"/>
        <v>1.6178383843461608</v>
      </c>
    </row>
    <row r="69" spans="1:22" x14ac:dyDescent="0.35">
      <c r="I69" s="80">
        <f>-AVERAGE(I72:I86)</f>
        <v>45.10885065006002</v>
      </c>
      <c r="J69" s="80">
        <f t="shared" ref="J69:T69" si="20">-AVERAGE(J72:J86)</f>
        <v>15.30055602057308</v>
      </c>
      <c r="K69" s="80">
        <f t="shared" si="20"/>
        <v>10.534289231432558</v>
      </c>
      <c r="L69" s="80">
        <f t="shared" si="20"/>
        <v>8.4847802979186664</v>
      </c>
      <c r="M69" s="80">
        <f t="shared" si="20"/>
        <v>7.2872567007399685</v>
      </c>
      <c r="N69" s="80">
        <f t="shared" si="20"/>
        <v>6.4841240978226971</v>
      </c>
      <c r="O69" s="80">
        <f t="shared" si="20"/>
        <v>5.9010992463376919</v>
      </c>
      <c r="P69" s="80">
        <f t="shared" si="20"/>
        <v>4.0752816055218686</v>
      </c>
      <c r="Q69" s="80">
        <f t="shared" si="20"/>
        <v>3.1558225994579203</v>
      </c>
      <c r="R69" s="80">
        <f t="shared" si="20"/>
        <v>2.9345880315917361</v>
      </c>
      <c r="S69" s="80">
        <f t="shared" si="20"/>
        <v>2.935186602863312</v>
      </c>
      <c r="T69" s="80">
        <f t="shared" si="20"/>
        <v>2.93883717605003</v>
      </c>
    </row>
    <row r="70" spans="1:22" x14ac:dyDescent="0.35">
      <c r="I70" s="79">
        <f>AVERAGE(I68:I69)</f>
        <v>51.185680283477645</v>
      </c>
      <c r="J70" s="79">
        <f t="shared" ref="J70:T70" si="21">AVERAGE(J68:J69)</f>
        <v>15.982887716211525</v>
      </c>
      <c r="K70" s="79">
        <f t="shared" si="21"/>
        <v>10.819925876953205</v>
      </c>
      <c r="L70" s="79">
        <f t="shared" si="21"/>
        <v>8.6375266470909899</v>
      </c>
      <c r="M70" s="79">
        <f t="shared" si="21"/>
        <v>7.3697846902333275</v>
      </c>
      <c r="N70" s="79">
        <f t="shared" si="21"/>
        <v>6.5206534068538966</v>
      </c>
      <c r="O70" s="79">
        <f t="shared" si="21"/>
        <v>5.9034112857451948</v>
      </c>
      <c r="P70" s="79">
        <f t="shared" si="21"/>
        <v>3.937472560013068</v>
      </c>
      <c r="Q70" s="79">
        <f t="shared" si="21"/>
        <v>2.8358655878496979</v>
      </c>
      <c r="R70" s="79">
        <f t="shared" si="21"/>
        <v>2.4471278833372319</v>
      </c>
      <c r="S70" s="79">
        <f t="shared" si="21"/>
        <v>2.2837436533831639</v>
      </c>
      <c r="T70" s="79">
        <f t="shared" si="21"/>
        <v>2.2783377801980955</v>
      </c>
    </row>
    <row r="71" spans="1:22" x14ac:dyDescent="0.35">
      <c r="U71" s="80"/>
      <c r="V71" s="80"/>
    </row>
    <row r="72" spans="1:22" x14ac:dyDescent="0.35">
      <c r="I72" s="80">
        <f>LN(I43)/$B43</f>
        <v>-40.103925398836381</v>
      </c>
      <c r="J72" s="80">
        <f t="shared" ref="J72:T72" si="22">LN(J43)/$B43</f>
        <v>-14.788189753262683</v>
      </c>
      <c r="K72" s="80">
        <f t="shared" si="22"/>
        <v>-10.440881696880123</v>
      </c>
      <c r="L72" s="80">
        <f t="shared" si="22"/>
        <v>-8.5852712553041783</v>
      </c>
      <c r="M72" s="80">
        <f t="shared" si="22"/>
        <v>-7.5275290491549027</v>
      </c>
      <c r="N72" s="80">
        <f t="shared" si="22"/>
        <v>-6.843118756479817</v>
      </c>
      <c r="O72" s="80">
        <f t="shared" si="22"/>
        <v>-6.3685188458214812</v>
      </c>
      <c r="P72" s="80">
        <f t="shared" si="22"/>
        <v>-5.2027902258844483</v>
      </c>
      <c r="Q72" s="80">
        <f t="shared" si="22"/>
        <v>-5.447565789436835</v>
      </c>
      <c r="R72" s="80">
        <f t="shared" si="22"/>
        <v>-6.3745623338278499</v>
      </c>
      <c r="S72" s="80">
        <f t="shared" si="22"/>
        <v>-7.5172834685224039</v>
      </c>
      <c r="T72" s="80">
        <f t="shared" si="22"/>
        <v>-7.5842505382212391</v>
      </c>
      <c r="U72" s="80"/>
      <c r="V72" s="80"/>
    </row>
    <row r="73" spans="1:22" x14ac:dyDescent="0.35">
      <c r="I73" s="80">
        <f t="shared" ref="I73:T88" si="23">LN(I44)/$B44</f>
        <v>-40.782189090098747</v>
      </c>
      <c r="J73" s="80">
        <f t="shared" si="23"/>
        <v>-14.816000984574018</v>
      </c>
      <c r="K73" s="80">
        <f t="shared" si="23"/>
        <v>-10.364768389957609</v>
      </c>
      <c r="L73" s="80">
        <f t="shared" si="23"/>
        <v>-8.4368400765880729</v>
      </c>
      <c r="M73" s="80">
        <f t="shared" si="23"/>
        <v>-7.3144474446239265</v>
      </c>
      <c r="N73" s="80">
        <f t="shared" si="23"/>
        <v>-6.568388853133353</v>
      </c>
      <c r="O73" s="80">
        <f t="shared" si="23"/>
        <v>-6.0336177788345822</v>
      </c>
      <c r="P73" s="80">
        <f t="shared" si="23"/>
        <v>-4.4674827804201485</v>
      </c>
      <c r="Q73" s="80">
        <f t="shared" si="23"/>
        <v>-3.9733321276090909</v>
      </c>
      <c r="R73" s="80">
        <f t="shared" si="23"/>
        <v>-4.1653996537645446</v>
      </c>
      <c r="S73" s="80">
        <f t="shared" si="23"/>
        <v>-4.5757601249107998</v>
      </c>
      <c r="T73" s="80">
        <f t="shared" si="23"/>
        <v>-4.6021093188239934</v>
      </c>
      <c r="U73" s="80"/>
      <c r="V73" s="80"/>
    </row>
    <row r="74" spans="1:22" x14ac:dyDescent="0.35">
      <c r="I74" s="80">
        <f t="shared" si="23"/>
        <v>-41.473825518381936</v>
      </c>
      <c r="J74" s="80">
        <f t="shared" si="23"/>
        <v>-14.882337890154714</v>
      </c>
      <c r="K74" s="80">
        <f t="shared" si="23"/>
        <v>-10.365358378796122</v>
      </c>
      <c r="L74" s="80">
        <f t="shared" si="23"/>
        <v>-8.403422619870673</v>
      </c>
      <c r="M74" s="80">
        <f t="shared" si="23"/>
        <v>-7.2547003242813437</v>
      </c>
      <c r="N74" s="80">
        <f t="shared" si="23"/>
        <v>-6.4853098292615003</v>
      </c>
      <c r="O74" s="80">
        <f t="shared" si="23"/>
        <v>-5.9286763826355742</v>
      </c>
      <c r="P74" s="80">
        <f t="shared" si="23"/>
        <v>-4.2245866306058337</v>
      </c>
      <c r="Q74" s="80">
        <f t="shared" si="23"/>
        <v>-3.482481197935329</v>
      </c>
      <c r="R74" s="80">
        <f t="shared" si="23"/>
        <v>-3.4291343919213584</v>
      </c>
      <c r="S74" s="80">
        <f t="shared" si="23"/>
        <v>-3.5951978995297953</v>
      </c>
      <c r="T74" s="80">
        <f t="shared" si="23"/>
        <v>-3.6080014022257441</v>
      </c>
      <c r="U74" s="80"/>
      <c r="V74" s="80"/>
    </row>
    <row r="75" spans="1:22" x14ac:dyDescent="0.35">
      <c r="I75" s="80">
        <f t="shared" si="23"/>
        <v>-42.174426019551532</v>
      </c>
      <c r="J75" s="80">
        <f t="shared" si="23"/>
        <v>-14.958429052657335</v>
      </c>
      <c r="K75" s="80">
        <f t="shared" si="23"/>
        <v>-10.385128751016223</v>
      </c>
      <c r="L75" s="80">
        <f t="shared" si="23"/>
        <v>-8.3987465071552112</v>
      </c>
      <c r="M75" s="80">
        <f t="shared" si="23"/>
        <v>-7.2332717413943159</v>
      </c>
      <c r="N75" s="80">
        <f t="shared" si="23"/>
        <v>-6.4501285725371877</v>
      </c>
      <c r="O75" s="80">
        <f t="shared" si="23"/>
        <v>-5.8812109101388659</v>
      </c>
      <c r="P75" s="80">
        <f t="shared" si="23"/>
        <v>-4.1047855781712164</v>
      </c>
      <c r="Q75" s="80">
        <f t="shared" si="23"/>
        <v>-3.2374726760853414</v>
      </c>
      <c r="R75" s="80">
        <f t="shared" si="23"/>
        <v>-3.0610918264901783</v>
      </c>
      <c r="S75" s="80">
        <f t="shared" si="23"/>
        <v>-3.1048750779983103</v>
      </c>
      <c r="T75" s="80">
        <f t="shared" si="23"/>
        <v>-3.1109009666783551</v>
      </c>
      <c r="U75" s="80"/>
      <c r="V75" s="80"/>
    </row>
    <row r="76" spans="1:22" x14ac:dyDescent="0.35">
      <c r="I76" s="80">
        <f t="shared" si="23"/>
        <v>-42.882868622162249</v>
      </c>
      <c r="J76" s="80">
        <f t="shared" si="23"/>
        <v>-15.038514169898423</v>
      </c>
      <c r="K76" s="80">
        <f t="shared" si="23"/>
        <v>-10.412573421835045</v>
      </c>
      <c r="L76" s="80">
        <f t="shared" si="23"/>
        <v>-8.4055566374815118</v>
      </c>
      <c r="M76" s="80">
        <f t="shared" si="23"/>
        <v>-7.2271581887225844</v>
      </c>
      <c r="N76" s="80">
        <f t="shared" si="23"/>
        <v>-6.4340942820237741</v>
      </c>
      <c r="O76" s="80">
        <f t="shared" si="23"/>
        <v>-5.8567245065719451</v>
      </c>
      <c r="P76" s="80">
        <f t="shared" si="23"/>
        <v>-4.0342163892323626</v>
      </c>
      <c r="Q76" s="80">
        <f t="shared" si="23"/>
        <v>-3.0907985095603467</v>
      </c>
      <c r="R76" s="80">
        <f t="shared" si="23"/>
        <v>-2.840337021678204</v>
      </c>
      <c r="S76" s="80">
        <f t="shared" si="23"/>
        <v>-2.8106473231198583</v>
      </c>
      <c r="T76" s="80">
        <f t="shared" si="23"/>
        <v>-2.8126028533817875</v>
      </c>
      <c r="U76" s="80"/>
      <c r="V76" s="80"/>
    </row>
    <row r="77" spans="1:22" x14ac:dyDescent="0.35">
      <c r="I77" s="80">
        <f t="shared" si="23"/>
        <v>-43.59857945002048</v>
      </c>
      <c r="J77" s="80">
        <f t="shared" si="23"/>
        <v>-15.120668182310563</v>
      </c>
      <c r="K77" s="80">
        <f t="shared" si="23"/>
        <v>-10.443855796091208</v>
      </c>
      <c r="L77" s="80">
        <f t="shared" si="23"/>
        <v>-8.418100798219994</v>
      </c>
      <c r="M77" s="80">
        <f t="shared" si="23"/>
        <v>-7.2286915706733552</v>
      </c>
      <c r="N77" s="80">
        <f t="shared" si="23"/>
        <v>-6.4276232118953258</v>
      </c>
      <c r="O77" s="80">
        <f t="shared" si="23"/>
        <v>-5.8437181347165756</v>
      </c>
      <c r="P77" s="80">
        <f t="shared" si="23"/>
        <v>-3.9882579909326616</v>
      </c>
      <c r="Q77" s="80">
        <f t="shared" si="23"/>
        <v>-2.9932893578147541</v>
      </c>
      <c r="R77" s="80">
        <f t="shared" si="23"/>
        <v>-2.6932250059881477</v>
      </c>
      <c r="S77" s="80">
        <f t="shared" si="23"/>
        <v>-2.6144665271932572</v>
      </c>
      <c r="T77" s="80">
        <f t="shared" si="23"/>
        <v>-2.613705347325844</v>
      </c>
      <c r="U77" s="80"/>
      <c r="V77" s="80"/>
    </row>
    <row r="78" spans="1:22" x14ac:dyDescent="0.35">
      <c r="I78" s="80">
        <f t="shared" si="23"/>
        <v>-44.321142330806431</v>
      </c>
      <c r="J78" s="80">
        <f t="shared" si="23"/>
        <v>-15.20406186493914</v>
      </c>
      <c r="K78" s="80">
        <f t="shared" si="23"/>
        <v>-10.477330577258282</v>
      </c>
      <c r="L78" s="80">
        <f t="shared" si="23"/>
        <v>-8.4339133238250596</v>
      </c>
      <c r="M78" s="80">
        <f t="shared" si="23"/>
        <v>-7.2345853421570494</v>
      </c>
      <c r="N78" s="80">
        <f t="shared" si="23"/>
        <v>-6.4266079205168616</v>
      </c>
      <c r="O78" s="80">
        <f t="shared" si="23"/>
        <v>-5.8372635642126385</v>
      </c>
      <c r="P78" s="80">
        <f t="shared" si="23"/>
        <v>-3.9563584995308863</v>
      </c>
      <c r="Q78" s="80">
        <f t="shared" si="23"/>
        <v>-2.9238726551311851</v>
      </c>
      <c r="R78" s="80">
        <f t="shared" si="23"/>
        <v>-2.5881936548296935</v>
      </c>
      <c r="S78" s="80">
        <f t="shared" si="23"/>
        <v>-2.4743120766292077</v>
      </c>
      <c r="T78" s="80">
        <f t="shared" si="23"/>
        <v>-2.4716077174108713</v>
      </c>
      <c r="U78" s="80"/>
      <c r="V78" s="80"/>
    </row>
    <row r="79" spans="1:22" x14ac:dyDescent="0.35">
      <c r="I79" s="80">
        <f t="shared" si="23"/>
        <v>-45.050201850115087</v>
      </c>
      <c r="J79" s="80">
        <f t="shared" si="23"/>
        <v>-15.288276977356075</v>
      </c>
      <c r="K79" s="80">
        <f t="shared" si="23"/>
        <v>-10.51217421981849</v>
      </c>
      <c r="L79" s="80">
        <f t="shared" si="23"/>
        <v>-8.451761010517238</v>
      </c>
      <c r="M79" s="80">
        <f t="shared" si="23"/>
        <v>-7.2431960432801352</v>
      </c>
      <c r="N79" s="80">
        <f t="shared" si="23"/>
        <v>-6.4289945826930381</v>
      </c>
      <c r="O79" s="80">
        <f t="shared" si="23"/>
        <v>-5.8348966188644447</v>
      </c>
      <c r="P79" s="80">
        <f t="shared" si="23"/>
        <v>-3.9332419774173282</v>
      </c>
      <c r="Q79" s="80">
        <f t="shared" si="23"/>
        <v>-2.8720121263377352</v>
      </c>
      <c r="R79" s="80">
        <f t="shared" si="23"/>
        <v>-2.5094619111727559</v>
      </c>
      <c r="S79" s="80">
        <f t="shared" si="23"/>
        <v>-2.3691736681042186</v>
      </c>
      <c r="T79" s="80">
        <f t="shared" si="23"/>
        <v>-2.3650096014780271</v>
      </c>
      <c r="U79" s="80"/>
      <c r="V79" s="80"/>
    </row>
    <row r="80" spans="1:22" x14ac:dyDescent="0.35">
      <c r="I80" s="80">
        <f t="shared" si="23"/>
        <v>-45.785431545546984</v>
      </c>
      <c r="J80" s="80">
        <f t="shared" si="23"/>
        <v>-15.373077981866411</v>
      </c>
      <c r="K80" s="80">
        <f t="shared" si="23"/>
        <v>-10.547928413479298</v>
      </c>
      <c r="L80" s="80">
        <f t="shared" si="23"/>
        <v>-8.4709584211663458</v>
      </c>
      <c r="M80" s="80">
        <f t="shared" si="23"/>
        <v>-7.2536104775558483</v>
      </c>
      <c r="N80" s="80">
        <f t="shared" si="23"/>
        <v>-6.4336420937339209</v>
      </c>
      <c r="O80" s="80">
        <f t="shared" si="23"/>
        <v>-5.8352482590631514</v>
      </c>
      <c r="P80" s="80">
        <f t="shared" si="23"/>
        <v>-3.9159773521165304</v>
      </c>
      <c r="Q80" s="80">
        <f t="shared" si="23"/>
        <v>-2.8318542920474714</v>
      </c>
      <c r="R80" s="80">
        <f t="shared" si="23"/>
        <v>-2.4482625257649393</v>
      </c>
      <c r="S80" s="80">
        <f t="shared" si="23"/>
        <v>-2.2873789139456768</v>
      </c>
      <c r="T80" s="80">
        <f t="shared" si="23"/>
        <v>-2.2820774679861193</v>
      </c>
      <c r="U80" s="80"/>
      <c r="V80" s="80"/>
    </row>
    <row r="81" spans="9:22" x14ac:dyDescent="0.35">
      <c r="I81" s="80">
        <f t="shared" si="23"/>
        <v>-46.526521581878605</v>
      </c>
      <c r="J81" s="80">
        <f t="shared" si="23"/>
        <v>-15.458320732078809</v>
      </c>
      <c r="K81" s="80">
        <f t="shared" si="23"/>
        <v>-10.58431747693156</v>
      </c>
      <c r="L81" s="80">
        <f t="shared" si="23"/>
        <v>-8.491094007234107</v>
      </c>
      <c r="M81" s="80">
        <f t="shared" si="23"/>
        <v>-7.2652805831690666</v>
      </c>
      <c r="N81" s="80">
        <f t="shared" si="23"/>
        <v>-6.439865711063641</v>
      </c>
      <c r="O81" s="80">
        <f t="shared" si="23"/>
        <v>-5.8374970147410536</v>
      </c>
      <c r="P81" s="80">
        <f t="shared" si="23"/>
        <v>-3.902805983884726</v>
      </c>
      <c r="Q81" s="80">
        <f t="shared" si="23"/>
        <v>-2.7998870707535044</v>
      </c>
      <c r="R81" s="80">
        <f t="shared" si="23"/>
        <v>-2.399335153219051</v>
      </c>
      <c r="S81" s="80">
        <f t="shared" si="23"/>
        <v>-2.2219243842859511</v>
      </c>
      <c r="T81" s="80">
        <f t="shared" si="23"/>
        <v>-2.2157112006826529</v>
      </c>
      <c r="U81" s="80"/>
      <c r="V81" s="80"/>
    </row>
    <row r="82" spans="9:22" x14ac:dyDescent="0.35">
      <c r="I82" s="80">
        <f t="shared" si="23"/>
        <v>-47.273173457563757</v>
      </c>
      <c r="J82" s="80">
        <f t="shared" si="23"/>
        <v>-15.543910968785561</v>
      </c>
      <c r="K82" s="80">
        <f t="shared" si="23"/>
        <v>-10.621165355063665</v>
      </c>
      <c r="L82" s="80">
        <f t="shared" si="23"/>
        <v>-8.5119056187350921</v>
      </c>
      <c r="M82" s="80">
        <f t="shared" si="23"/>
        <v>-7.2778574653513672</v>
      </c>
      <c r="N82" s="80">
        <f t="shared" si="23"/>
        <v>-6.447229618572516</v>
      </c>
      <c r="O82" s="80">
        <f t="shared" si="23"/>
        <v>-5.8411200912471735</v>
      </c>
      <c r="P82" s="80">
        <f t="shared" si="23"/>
        <v>-3.8926087418874675</v>
      </c>
      <c r="Q82" s="80">
        <f t="shared" si="23"/>
        <v>-2.773875507053758</v>
      </c>
      <c r="R82" s="80">
        <f t="shared" si="23"/>
        <v>-2.3593323047797199</v>
      </c>
      <c r="S82" s="80">
        <f t="shared" si="23"/>
        <v>-2.1683533534960433</v>
      </c>
      <c r="T82" s="80">
        <f t="shared" si="23"/>
        <v>-2.1613925461817041</v>
      </c>
      <c r="U82" s="80"/>
      <c r="V82" s="80"/>
    </row>
    <row r="83" spans="9:22" x14ac:dyDescent="0.35">
      <c r="I83" s="80">
        <f t="shared" si="23"/>
        <v>-48.02509759538593</v>
      </c>
      <c r="J83" s="80">
        <f t="shared" si="23"/>
        <v>-15.629783568791744</v>
      </c>
      <c r="K83" s="80">
        <f t="shared" si="23"/>
        <v>-10.658354117611262</v>
      </c>
      <c r="L83" s="80">
        <f t="shared" si="23"/>
        <v>-8.5332182592022132</v>
      </c>
      <c r="M83" s="80">
        <f t="shared" si="23"/>
        <v>-7.2911084125517718</v>
      </c>
      <c r="N83" s="80">
        <f t="shared" si="23"/>
        <v>-6.4554432087782141</v>
      </c>
      <c r="O83" s="80">
        <f t="shared" si="23"/>
        <v>-5.8457689222741278</v>
      </c>
      <c r="P83" s="80">
        <f t="shared" si="23"/>
        <v>-3.8846395422858597</v>
      </c>
      <c r="Q83" s="80">
        <f t="shared" si="23"/>
        <v>-2.7523296357632696</v>
      </c>
      <c r="R83" s="80">
        <f t="shared" si="23"/>
        <v>-2.3260223247071887</v>
      </c>
      <c r="S83" s="80">
        <f t="shared" si="23"/>
        <v>-2.123694673402817</v>
      </c>
      <c r="T83" s="80">
        <f t="shared" si="23"/>
        <v>-2.1161093377527145</v>
      </c>
      <c r="U83" s="80"/>
      <c r="V83" s="80"/>
    </row>
    <row r="84" spans="9:22" x14ac:dyDescent="0.35">
      <c r="I84" s="80">
        <f t="shared" si="23"/>
        <v>-48.782012225221372</v>
      </c>
      <c r="J84" s="80">
        <f t="shared" si="23"/>
        <v>-15.71589137194707</v>
      </c>
      <c r="K84" s="80">
        <f t="shared" si="23"/>
        <v>-10.695801612303825</v>
      </c>
      <c r="L84" s="80">
        <f t="shared" si="23"/>
        <v>-8.5549105691153446</v>
      </c>
      <c r="M84" s="80">
        <f t="shared" si="23"/>
        <v>-7.3048722128193111</v>
      </c>
      <c r="N84" s="80">
        <f t="shared" si="23"/>
        <v>-6.4643052347456562</v>
      </c>
      <c r="O84" s="80">
        <f t="shared" si="23"/>
        <v>-5.8512021598842079</v>
      </c>
      <c r="P84" s="80">
        <f t="shared" si="23"/>
        <v>-3.8783818687419194</v>
      </c>
      <c r="Q84" s="80">
        <f t="shared" si="23"/>
        <v>-2.7342179472049231</v>
      </c>
      <c r="R84" s="80">
        <f t="shared" si="23"/>
        <v>-2.2978602237145269</v>
      </c>
      <c r="S84" s="80">
        <f t="shared" si="23"/>
        <v>-2.0858913973289286</v>
      </c>
      <c r="T84" s="80">
        <f t="shared" si="23"/>
        <v>-2.0777762312071775</v>
      </c>
      <c r="U84" s="80"/>
      <c r="V84" s="80"/>
    </row>
    <row r="85" spans="9:22" x14ac:dyDescent="0.35">
      <c r="I85" s="80">
        <f t="shared" si="23"/>
        <v>-49.543642879343238</v>
      </c>
      <c r="J85" s="80">
        <f t="shared" si="23"/>
        <v>-15.802198797205136</v>
      </c>
      <c r="K85" s="80">
        <f t="shared" si="23"/>
        <v>-10.73344869525218</v>
      </c>
      <c r="L85" s="80">
        <f t="shared" si="23"/>
        <v>-8.5768956735599868</v>
      </c>
      <c r="M85" s="80">
        <f t="shared" si="23"/>
        <v>-7.3190336202916351</v>
      </c>
      <c r="N85" s="80">
        <f t="shared" si="23"/>
        <v>-6.4736718968854801</v>
      </c>
      <c r="O85" s="80">
        <f t="shared" si="23"/>
        <v>-5.8572473830865466</v>
      </c>
      <c r="P85" s="80">
        <f t="shared" si="23"/>
        <v>-3.873466784133786</v>
      </c>
      <c r="Q85" s="80">
        <f t="shared" si="23"/>
        <v>-2.7188036530898669</v>
      </c>
      <c r="R85" s="80">
        <f t="shared" si="23"/>
        <v>-2.2737424409320592</v>
      </c>
      <c r="S85" s="80">
        <f t="shared" si="23"/>
        <v>-2.0534742795444836</v>
      </c>
      <c r="T85" s="80">
        <f t="shared" si="23"/>
        <v>-2.0449036968339303</v>
      </c>
      <c r="U85" s="80"/>
      <c r="V85" s="80"/>
    </row>
    <row r="86" spans="9:22" x14ac:dyDescent="0.35">
      <c r="I86" s="80">
        <f t="shared" si="23"/>
        <v>-50.309722185987489</v>
      </c>
      <c r="J86" s="80">
        <f t="shared" si="23"/>
        <v>-15.888678012768514</v>
      </c>
      <c r="K86" s="80">
        <f t="shared" si="23"/>
        <v>-10.771251569193488</v>
      </c>
      <c r="L86" s="80">
        <f t="shared" si="23"/>
        <v>-8.5991096908049496</v>
      </c>
      <c r="M86" s="80">
        <f t="shared" si="23"/>
        <v>-7.3335080350729038</v>
      </c>
      <c r="N86" s="80">
        <f t="shared" si="23"/>
        <v>-6.4834376950201573</v>
      </c>
      <c r="O86" s="80">
        <f t="shared" si="23"/>
        <v>-5.8637781229729979</v>
      </c>
      <c r="P86" s="80">
        <f t="shared" si="23"/>
        <v>-3.8696237375828497</v>
      </c>
      <c r="Q86" s="80">
        <f t="shared" si="23"/>
        <v>-2.7055464460453997</v>
      </c>
      <c r="R86" s="80">
        <f t="shared" si="23"/>
        <v>-2.2528597010858182</v>
      </c>
      <c r="S86" s="80">
        <f t="shared" si="23"/>
        <v>-2.0253658749379304</v>
      </c>
      <c r="T86" s="80">
        <f t="shared" si="23"/>
        <v>-2.0163994145602908</v>
      </c>
      <c r="U86" s="80"/>
      <c r="V86" s="80"/>
    </row>
    <row r="87" spans="9:22" x14ac:dyDescent="0.35">
      <c r="I87" s="80">
        <f t="shared" si="23"/>
        <v>-51.079989806566047</v>
      </c>
      <c r="J87" s="80">
        <f t="shared" si="23"/>
        <v>-15.975306542839656</v>
      </c>
      <c r="K87" s="80">
        <f t="shared" si="23"/>
        <v>-10.809176994897879</v>
      </c>
      <c r="L87" s="80">
        <f t="shared" si="23"/>
        <v>-8.6215045501467493</v>
      </c>
      <c r="M87" s="80">
        <f t="shared" si="23"/>
        <v>-7.3482319281420594</v>
      </c>
      <c r="N87" s="80">
        <f t="shared" si="23"/>
        <v>-6.4935234609150339</v>
      </c>
      <c r="O87" s="80">
        <f t="shared" si="23"/>
        <v>-5.8706995034203473</v>
      </c>
      <c r="P87" s="80">
        <f t="shared" si="23"/>
        <v>-3.8666498188434657</v>
      </c>
      <c r="Q87" s="80">
        <f t="shared" si="23"/>
        <v>-2.6940410993198429</v>
      </c>
      <c r="R87" s="80">
        <f t="shared" si="23"/>
        <v>-2.2346050502343164</v>
      </c>
      <c r="S87" s="80">
        <f t="shared" si="23"/>
        <v>-2.0007581013106659</v>
      </c>
      <c r="T87" s="80">
        <f t="shared" si="23"/>
        <v>-1.9914441459279972</v>
      </c>
      <c r="U87" s="80"/>
      <c r="V87" s="80"/>
    </row>
    <row r="88" spans="9:22" x14ac:dyDescent="0.35">
      <c r="I88" s="80">
        <f t="shared" si="23"/>
        <v>-51.854192437044134</v>
      </c>
      <c r="J88" s="80">
        <f t="shared" si="23"/>
        <v>-16.06206571939093</v>
      </c>
      <c r="K88" s="80">
        <f t="shared" si="23"/>
        <v>-10.847199192666602</v>
      </c>
      <c r="L88" s="80">
        <f t="shared" si="23"/>
        <v>-8.6440433446182841</v>
      </c>
      <c r="M88" s="80">
        <f t="shared" si="23"/>
        <v>-7.3631566456925315</v>
      </c>
      <c r="N88" s="80">
        <f t="shared" si="23"/>
        <v>-6.5038686146098996</v>
      </c>
      <c r="O88" s="80">
        <f t="shared" si="23"/>
        <v>-5.8779389497707673</v>
      </c>
      <c r="P88" s="80">
        <f t="shared" si="23"/>
        <v>-3.8643898640831305</v>
      </c>
      <c r="Q88" s="80">
        <f t="shared" si="23"/>
        <v>-2.6839777371795726</v>
      </c>
      <c r="R88" s="80">
        <f t="shared" si="23"/>
        <v>-2.2185143494805359</v>
      </c>
      <c r="S88" s="80">
        <f t="shared" si="23"/>
        <v>-1.9790330149794182</v>
      </c>
      <c r="T88" s="80">
        <f t="shared" si="23"/>
        <v>-1.9694114159600014</v>
      </c>
      <c r="U88" s="80"/>
      <c r="V88" s="80"/>
    </row>
    <row r="89" spans="9:22" x14ac:dyDescent="0.35">
      <c r="I89" s="80">
        <f t="shared" ref="I89:T95" si="24">LN(I60)/$B60</f>
        <v>-52.632083831508531</v>
      </c>
      <c r="J89" s="80">
        <f t="shared" si="24"/>
        <v>-16.14893965027694</v>
      </c>
      <c r="K89" s="80">
        <f t="shared" si="24"/>
        <v>-10.88529777665695</v>
      </c>
      <c r="L89" s="80">
        <f t="shared" si="24"/>
        <v>-8.666697232774272</v>
      </c>
      <c r="M89" s="80">
        <f t="shared" si="24"/>
        <v>-7.3782442786762727</v>
      </c>
      <c r="N89" s="80">
        <f t="shared" si="24"/>
        <v>-6.5144260019639546</v>
      </c>
      <c r="O89" s="80">
        <f t="shared" si="24"/>
        <v>-5.8854399946114304</v>
      </c>
      <c r="P89" s="80">
        <f t="shared" si="24"/>
        <v>-3.862723193067334</v>
      </c>
      <c r="Q89" s="80">
        <f t="shared" si="24"/>
        <v>-2.6751153485069845</v>
      </c>
      <c r="R89" s="80">
        <f t="shared" si="24"/>
        <v>-2.204226604113408</v>
      </c>
      <c r="S89" s="80">
        <f t="shared" si="24"/>
        <v>-1.9597099945111993</v>
      </c>
      <c r="T89" s="80">
        <f t="shared" si="24"/>
        <v>-1.9498139677384356</v>
      </c>
      <c r="U89" s="80"/>
      <c r="V89" s="80"/>
    </row>
    <row r="90" spans="9:22" x14ac:dyDescent="0.35">
      <c r="I90" s="80">
        <f t="shared" si="24"/>
        <v>-53.413424825589971</v>
      </c>
      <c r="J90" s="80">
        <f t="shared" si="24"/>
        <v>-16.235914513419807</v>
      </c>
      <c r="K90" s="80">
        <f t="shared" si="24"/>
        <v>-10.923456341516168</v>
      </c>
      <c r="L90" s="80">
        <f t="shared" si="24"/>
        <v>-8.6894433188453899</v>
      </c>
      <c r="M90" s="80">
        <f t="shared" si="24"/>
        <v>-7.3934648366904074</v>
      </c>
      <c r="N90" s="80">
        <f t="shared" si="24"/>
        <v>-6.5251583624388809</v>
      </c>
      <c r="O90" s="80">
        <f t="shared" si="24"/>
        <v>-5.8931580396159786</v>
      </c>
      <c r="P90" s="80">
        <f t="shared" si="24"/>
        <v>-3.8615545346002595</v>
      </c>
      <c r="Q90" s="80">
        <f t="shared" si="24"/>
        <v>-2.6672636645250822</v>
      </c>
      <c r="R90" s="80">
        <f t="shared" si="24"/>
        <v>-2.19145682038863</v>
      </c>
      <c r="S90" s="80">
        <f t="shared" si="24"/>
        <v>-1.9424096032789147</v>
      </c>
      <c r="T90" s="80">
        <f t="shared" si="24"/>
        <v>-1.9322671260632893</v>
      </c>
      <c r="U90" s="80"/>
      <c r="V90" s="80"/>
    </row>
    <row r="91" spans="9:22" x14ac:dyDescent="0.35">
      <c r="I91" s="80">
        <f t="shared" si="24"/>
        <v>-54.197983348082538</v>
      </c>
      <c r="J91" s="80">
        <f t="shared" si="24"/>
        <v>-16.322978062898727</v>
      </c>
      <c r="K91" s="80">
        <f t="shared" si="24"/>
        <v>-10.961661473011114</v>
      </c>
      <c r="L91" s="80">
        <f t="shared" si="24"/>
        <v>-8.7122631688288319</v>
      </c>
      <c r="M91" s="80">
        <f t="shared" si="24"/>
        <v>-7.4087942696842788</v>
      </c>
      <c r="N91" s="80">
        <f t="shared" si="24"/>
        <v>-6.5360358565383221</v>
      </c>
      <c r="O91" s="80">
        <f t="shared" si="24"/>
        <v>-5.9010573888266133</v>
      </c>
      <c r="P91" s="80">
        <f t="shared" si="24"/>
        <v>-3.8608076743320705</v>
      </c>
      <c r="Q91" s="80">
        <f t="shared" si="24"/>
        <v>-2.660270473204787</v>
      </c>
      <c r="R91" s="80">
        <f t="shared" si="24"/>
        <v>-2.1799770052756346</v>
      </c>
      <c r="S91" s="80">
        <f t="shared" si="24"/>
        <v>-1.9268282932504339</v>
      </c>
      <c r="T91" s="80">
        <f t="shared" si="24"/>
        <v>-1.9164631520135329</v>
      </c>
      <c r="U91" s="80"/>
      <c r="V91" s="80"/>
    </row>
    <row r="92" spans="9:22" x14ac:dyDescent="0.35">
      <c r="I92" s="80">
        <f t="shared" si="24"/>
        <v>-54.98553441506386</v>
      </c>
      <c r="J92" s="80">
        <f t="shared" si="24"/>
        <v>-16.410119276277495</v>
      </c>
      <c r="K92" s="80">
        <f t="shared" si="24"/>
        <v>-10.999902041318796</v>
      </c>
      <c r="L92" s="80">
        <f t="shared" si="24"/>
        <v>-8.7351417505352575</v>
      </c>
      <c r="M92" s="80">
        <f t="shared" si="24"/>
        <v>-7.424213054880866</v>
      </c>
      <c r="N92" s="80">
        <f t="shared" si="24"/>
        <v>-6.5470342996832347</v>
      </c>
      <c r="O92" s="80">
        <f t="shared" si="24"/>
        <v>-5.9091091295632348</v>
      </c>
      <c r="P92" s="80">
        <f t="shared" si="24"/>
        <v>-3.8604209174767021</v>
      </c>
      <c r="Q92" s="80">
        <f t="shared" si="24"/>
        <v>-2.6540125581270075</v>
      </c>
      <c r="R92" s="80">
        <f t="shared" si="24"/>
        <v>-2.1696025948480084</v>
      </c>
      <c r="S92" s="80">
        <f t="shared" si="24"/>
        <v>-1.9127203362664322</v>
      </c>
      <c r="T92" s="80">
        <f t="shared" si="24"/>
        <v>-1.9021529247766595</v>
      </c>
      <c r="U92" s="80"/>
      <c r="V92" s="80"/>
    </row>
    <row r="93" spans="9:22" x14ac:dyDescent="0.35">
      <c r="I93" s="80">
        <f t="shared" si="24"/>
        <v>-55.775860104268169</v>
      </c>
      <c r="J93" s="80">
        <f t="shared" si="24"/>
        <v>-16.497328098191602</v>
      </c>
      <c r="K93" s="80">
        <f t="shared" si="24"/>
        <v>-11.038168687037015</v>
      </c>
      <c r="L93" s="80">
        <f t="shared" si="24"/>
        <v>-8.7580666626972921</v>
      </c>
      <c r="M93" s="80">
        <f t="shared" si="24"/>
        <v>-7.4397051690704288</v>
      </c>
      <c r="N93" s="80">
        <f t="shared" si="24"/>
        <v>-6.5581338777495484</v>
      </c>
      <c r="O93" s="80">
        <f t="shared" si="24"/>
        <v>-5.9172895912596113</v>
      </c>
      <c r="P93" s="80">
        <f t="shared" si="24"/>
        <v>-3.8603437889692147</v>
      </c>
      <c r="Q93" s="80">
        <f t="shared" si="24"/>
        <v>-2.6483891085641451</v>
      </c>
      <c r="R93" s="80">
        <f t="shared" si="24"/>
        <v>-2.1601825840222211</v>
      </c>
      <c r="S93" s="80">
        <f t="shared" si="24"/>
        <v>-1.8998846831517084</v>
      </c>
      <c r="T93" s="80">
        <f t="shared" si="24"/>
        <v>-1.8891326193427613</v>
      </c>
      <c r="U93" s="80"/>
      <c r="V93" s="80"/>
    </row>
    <row r="94" spans="9:22" x14ac:dyDescent="0.35">
      <c r="I94" s="80">
        <f t="shared" si="24"/>
        <v>-56.568749509523364</v>
      </c>
      <c r="J94" s="80">
        <f t="shared" si="24"/>
        <v>-16.584595250874759</v>
      </c>
      <c r="K94" s="80">
        <f t="shared" si="24"/>
        <v>-11.076453441256817</v>
      </c>
      <c r="L94" s="80">
        <f t="shared" si="24"/>
        <v>-8.7810275651631109</v>
      </c>
      <c r="M94" s="80">
        <f t="shared" si="24"/>
        <v>-7.4552573289905055</v>
      </c>
      <c r="N94" s="80">
        <f t="shared" si="24"/>
        <v>-6.5693181976744119</v>
      </c>
      <c r="O94" s="80">
        <f t="shared" si="24"/>
        <v>-5.9255792063364332</v>
      </c>
      <c r="P94" s="80">
        <f t="shared" si="24"/>
        <v>-3.86053459445032</v>
      </c>
      <c r="Q94" s="80">
        <f t="shared" si="24"/>
        <v>-2.6433168486706258</v>
      </c>
      <c r="R94" s="80">
        <f t="shared" si="24"/>
        <v>-2.1515922311470059</v>
      </c>
      <c r="S94" s="80">
        <f t="shared" si="24"/>
        <v>-1.8881552508843917</v>
      </c>
      <c r="T94" s="80">
        <f t="shared" si="24"/>
        <v>-1.8772338595830427</v>
      </c>
      <c r="U94" s="80"/>
      <c r="V94" s="80"/>
    </row>
    <row r="95" spans="9:22" x14ac:dyDescent="0.35">
      <c r="I95" s="80">
        <f t="shared" si="24"/>
        <v>-57.363998675979971</v>
      </c>
      <c r="J95" s="80">
        <f t="shared" si="24"/>
        <v>-16.671912092067377</v>
      </c>
      <c r="K95" s="80">
        <f t="shared" si="24"/>
        <v>-11.114749440594325</v>
      </c>
      <c r="L95" s="80">
        <f t="shared" si="24"/>
        <v>-8.8040157515248794</v>
      </c>
      <c r="M95" s="80">
        <f t="shared" si="24"/>
        <v>-7.4708584215986944</v>
      </c>
      <c r="N95" s="80">
        <f t="shared" si="24"/>
        <v>-6.580573575402191</v>
      </c>
      <c r="O95" s="80">
        <f t="shared" si="24"/>
        <v>-5.9339616558501769</v>
      </c>
      <c r="P95" s="80">
        <f t="shared" si="24"/>
        <v>-3.8609585910034174</v>
      </c>
      <c r="Q95" s="80">
        <f t="shared" si="24"/>
        <v>-2.6387263843756599</v>
      </c>
      <c r="R95" s="80">
        <f t="shared" si="24"/>
        <v>-2.1437275864456082</v>
      </c>
      <c r="S95" s="80">
        <f t="shared" si="24"/>
        <v>-1.8773936379730429</v>
      </c>
      <c r="T95" s="80">
        <f t="shared" si="24"/>
        <v>-1.8663163330586021</v>
      </c>
    </row>
    <row r="96" spans="9:22" x14ac:dyDescent="0.35">
      <c r="I96" s="80"/>
    </row>
    <row r="97" spans="1:9" x14ac:dyDescent="0.35">
      <c r="I97" s="80"/>
    </row>
    <row r="111" spans="1:9" x14ac:dyDescent="0.35">
      <c r="A111" t="s">
        <v>224</v>
      </c>
    </row>
    <row r="115" spans="1:13" x14ac:dyDescent="0.35">
      <c r="A115" t="s">
        <v>209</v>
      </c>
      <c r="B115" t="s">
        <v>227</v>
      </c>
      <c r="C115" s="28" t="s">
        <v>228</v>
      </c>
      <c r="D115" t="s">
        <v>208</v>
      </c>
      <c r="E115" t="s">
        <v>207</v>
      </c>
      <c r="F115" s="2" t="s">
        <v>40</v>
      </c>
      <c r="G115" s="2" t="s">
        <v>180</v>
      </c>
      <c r="H115" s="2" t="s">
        <v>213</v>
      </c>
      <c r="I115" s="2" t="s">
        <v>211</v>
      </c>
      <c r="J115" s="2" t="s">
        <v>225</v>
      </c>
      <c r="K115" s="2" t="s">
        <v>189</v>
      </c>
      <c r="L115" s="2" t="s">
        <v>226</v>
      </c>
      <c r="M115" s="8">
        <f>I112/365</f>
        <v>0</v>
      </c>
    </row>
    <row r="116" spans="1:13" x14ac:dyDescent="0.35">
      <c r="A116">
        <v>0</v>
      </c>
      <c r="D116" s="8">
        <f>0%+$F$38*A116</f>
        <v>0</v>
      </c>
      <c r="E116" s="5">
        <f>F116*D116</f>
        <v>0</v>
      </c>
      <c r="F116" s="2">
        <v>100</v>
      </c>
      <c r="G116" s="5">
        <f>F116+E116</f>
        <v>100</v>
      </c>
      <c r="H116" s="5">
        <f>G116-F116</f>
        <v>0</v>
      </c>
      <c r="J116" s="26">
        <v>0.1</v>
      </c>
      <c r="M116" s="80">
        <f>($G116*NORMDIST(LN($G116/$F116)/($F$39*SQRT(I$41))+0.5*$F$39*SQRT(I$41),0,1,TRUE)-$F116*NORMDIST(LN($G116/$F116)/($F$39*SQRT(I$41))-0.5*$F$39*SQRT(I$41),0,1,TRUE)-$H116)/I$39</f>
        <v>0.99995890562953049</v>
      </c>
    </row>
    <row r="118" spans="1:13" x14ac:dyDescent="0.35">
      <c r="B118" t="s">
        <v>226</v>
      </c>
    </row>
    <row r="119" spans="1:13" x14ac:dyDescent="0.35">
      <c r="B119" s="2" t="s">
        <v>231</v>
      </c>
      <c r="C119" s="6">
        <v>7</v>
      </c>
      <c r="D119" s="6">
        <v>14</v>
      </c>
      <c r="E119" s="6">
        <v>21</v>
      </c>
      <c r="F119" s="6">
        <v>28</v>
      </c>
      <c r="G119" s="6">
        <v>60</v>
      </c>
      <c r="H119" s="6">
        <v>90</v>
      </c>
      <c r="I119" s="6">
        <v>180</v>
      </c>
      <c r="J119" s="6">
        <v>365</v>
      </c>
    </row>
    <row r="120" spans="1:13" x14ac:dyDescent="0.35">
      <c r="B120" s="8">
        <v>0.1</v>
      </c>
      <c r="C120" s="8">
        <f t="shared" ref="C120:C125" si="25">$B120*SQRT(C$119/365)</f>
        <v>1.3848495294356286E-2</v>
      </c>
      <c r="D120" s="8">
        <f t="shared" ref="D120:J125" si="26">$B120*SQRT(D$119/365)</f>
        <v>1.9584729863738649E-2</v>
      </c>
      <c r="E120" s="8">
        <f t="shared" si="26"/>
        <v>2.3986297458203604E-2</v>
      </c>
      <c r="F120" s="8">
        <f t="shared" si="26"/>
        <v>2.7696990588712573E-2</v>
      </c>
      <c r="G120" s="8">
        <f t="shared" si="26"/>
        <v>4.0544242703969162E-2</v>
      </c>
      <c r="H120" s="8">
        <f t="shared" si="26"/>
        <v>4.9656353316142078E-2</v>
      </c>
      <c r="I120" s="8">
        <f t="shared" si="26"/>
        <v>7.0224688317678349E-2</v>
      </c>
      <c r="J120" s="8">
        <f t="shared" si="26"/>
        <v>0.1</v>
      </c>
    </row>
    <row r="121" spans="1:13" x14ac:dyDescent="0.35">
      <c r="B121" s="8">
        <v>0.2</v>
      </c>
      <c r="C121" s="8">
        <f t="shared" si="25"/>
        <v>2.7696990588712573E-2</v>
      </c>
      <c r="D121" s="8">
        <f t="shared" si="26"/>
        <v>3.9169459727477297E-2</v>
      </c>
      <c r="E121" s="8">
        <f t="shared" si="26"/>
        <v>4.7972594916407207E-2</v>
      </c>
      <c r="F121" s="8">
        <f t="shared" si="26"/>
        <v>5.5393981177425146E-2</v>
      </c>
      <c r="G121" s="8">
        <f t="shared" si="26"/>
        <v>8.1088485407938324E-2</v>
      </c>
      <c r="H121" s="8">
        <f t="shared" si="26"/>
        <v>9.9312706632284156E-2</v>
      </c>
      <c r="I121" s="8">
        <f t="shared" si="26"/>
        <v>0.1404493766353567</v>
      </c>
      <c r="J121" s="8">
        <f t="shared" si="26"/>
        <v>0.2</v>
      </c>
    </row>
    <row r="122" spans="1:13" x14ac:dyDescent="0.35">
      <c r="B122" s="8">
        <v>0.3</v>
      </c>
      <c r="C122" s="8">
        <f t="shared" si="25"/>
        <v>4.1545485883068854E-2</v>
      </c>
      <c r="D122" s="8">
        <f t="shared" si="26"/>
        <v>5.8754189591215943E-2</v>
      </c>
      <c r="E122" s="8">
        <f t="shared" si="26"/>
        <v>7.1958892374610811E-2</v>
      </c>
      <c r="F122" s="8">
        <f t="shared" si="26"/>
        <v>8.3090971766137708E-2</v>
      </c>
      <c r="G122" s="8">
        <f t="shared" si="26"/>
        <v>0.12163272811190746</v>
      </c>
      <c r="H122" s="8">
        <f t="shared" si="26"/>
        <v>0.14896905994842621</v>
      </c>
      <c r="I122" s="8">
        <f t="shared" si="26"/>
        <v>0.21067406495303501</v>
      </c>
      <c r="J122" s="8">
        <f t="shared" si="26"/>
        <v>0.3</v>
      </c>
    </row>
    <row r="123" spans="1:13" x14ac:dyDescent="0.35">
      <c r="B123" s="8">
        <v>0.4</v>
      </c>
      <c r="C123" s="8">
        <f t="shared" si="25"/>
        <v>5.5393981177425146E-2</v>
      </c>
      <c r="D123" s="8">
        <f t="shared" si="26"/>
        <v>7.8338919454954595E-2</v>
      </c>
      <c r="E123" s="8">
        <f t="shared" si="26"/>
        <v>9.5945189832814415E-2</v>
      </c>
      <c r="F123" s="8">
        <f t="shared" si="26"/>
        <v>0.11078796235485029</v>
      </c>
      <c r="G123" s="8">
        <f t="shared" si="26"/>
        <v>0.16217697081587665</v>
      </c>
      <c r="H123" s="8">
        <f t="shared" si="26"/>
        <v>0.19862541326456831</v>
      </c>
      <c r="I123" s="8">
        <f t="shared" si="26"/>
        <v>0.2808987532707134</v>
      </c>
      <c r="J123" s="8">
        <f t="shared" si="26"/>
        <v>0.4</v>
      </c>
    </row>
    <row r="124" spans="1:13" x14ac:dyDescent="0.35">
      <c r="B124" s="8">
        <v>0.5</v>
      </c>
      <c r="C124" s="8">
        <f t="shared" si="25"/>
        <v>6.9242476471781431E-2</v>
      </c>
      <c r="D124" s="8">
        <f t="shared" si="26"/>
        <v>9.792364931869324E-2</v>
      </c>
      <c r="E124" s="8">
        <f t="shared" si="26"/>
        <v>0.11993148729101802</v>
      </c>
      <c r="F124" s="8">
        <f t="shared" si="26"/>
        <v>0.13848495294356286</v>
      </c>
      <c r="G124" s="8">
        <f t="shared" si="26"/>
        <v>0.20272121351984579</v>
      </c>
      <c r="H124" s="8">
        <f t="shared" si="26"/>
        <v>0.24828176658071038</v>
      </c>
      <c r="I124" s="8">
        <f t="shared" si="26"/>
        <v>0.3511234415883917</v>
      </c>
      <c r="J124" s="8">
        <f t="shared" si="26"/>
        <v>0.5</v>
      </c>
    </row>
    <row r="125" spans="1:13" x14ac:dyDescent="0.35">
      <c r="B125" s="8">
        <v>0.6</v>
      </c>
      <c r="C125" s="8">
        <f t="shared" si="25"/>
        <v>8.3090971766137708E-2</v>
      </c>
      <c r="D125" s="8">
        <f t="shared" si="26"/>
        <v>0.11750837918243189</v>
      </c>
      <c r="E125" s="8">
        <f t="shared" si="26"/>
        <v>0.14391778474922162</v>
      </c>
      <c r="F125" s="8">
        <f t="shared" si="26"/>
        <v>0.16618194353227542</v>
      </c>
      <c r="G125" s="8">
        <f t="shared" si="26"/>
        <v>0.24326545622381493</v>
      </c>
      <c r="H125" s="8">
        <f t="shared" si="26"/>
        <v>0.29793811989685243</v>
      </c>
      <c r="I125" s="8">
        <f t="shared" si="26"/>
        <v>0.42134812990607001</v>
      </c>
      <c r="J125" s="8">
        <f t="shared" si="26"/>
        <v>0.6</v>
      </c>
    </row>
    <row r="128" spans="1:13" x14ac:dyDescent="0.35">
      <c r="B128" s="8">
        <v>1.3848495294356286E-2</v>
      </c>
      <c r="C128" s="28">
        <f>AVERAGE($B128:$B175)</f>
        <v>0.1511745364249753</v>
      </c>
      <c r="D128" s="28">
        <f>STDEV($B128:$B175)</f>
        <v>0.13130123978396593</v>
      </c>
      <c r="E128" s="28">
        <f>MAX($B128:$B175)</f>
        <v>0.6</v>
      </c>
      <c r="F128" s="28">
        <f>MIN($B128:$B175)</f>
        <v>1.3848495294356286E-2</v>
      </c>
    </row>
    <row r="129" spans="2:2" x14ac:dyDescent="0.35">
      <c r="B129" s="8">
        <v>1.9584729863738649E-2</v>
      </c>
    </row>
    <row r="130" spans="2:2" x14ac:dyDescent="0.35">
      <c r="B130" s="8">
        <v>2.3986297458203604E-2</v>
      </c>
    </row>
    <row r="131" spans="2:2" x14ac:dyDescent="0.35">
      <c r="B131" s="8">
        <v>2.7696990588712573E-2</v>
      </c>
    </row>
    <row r="132" spans="2:2" x14ac:dyDescent="0.35">
      <c r="B132" s="8">
        <v>4.0544242703969162E-2</v>
      </c>
    </row>
    <row r="133" spans="2:2" x14ac:dyDescent="0.35">
      <c r="B133" s="8">
        <v>4.9656353316142078E-2</v>
      </c>
    </row>
    <row r="134" spans="2:2" x14ac:dyDescent="0.35">
      <c r="B134" s="8">
        <v>7.0224688317678349E-2</v>
      </c>
    </row>
    <row r="135" spans="2:2" x14ac:dyDescent="0.35">
      <c r="B135" s="8">
        <v>0.1</v>
      </c>
    </row>
    <row r="136" spans="2:2" x14ac:dyDescent="0.35">
      <c r="B136" s="8">
        <v>2.7696990588712573E-2</v>
      </c>
    </row>
    <row r="137" spans="2:2" x14ac:dyDescent="0.35">
      <c r="B137" s="8">
        <v>3.9169459727477297E-2</v>
      </c>
    </row>
    <row r="138" spans="2:2" x14ac:dyDescent="0.35">
      <c r="B138" s="8">
        <v>4.7972594916407207E-2</v>
      </c>
    </row>
    <row r="139" spans="2:2" x14ac:dyDescent="0.35">
      <c r="B139" s="8">
        <v>5.5393981177425146E-2</v>
      </c>
    </row>
    <row r="140" spans="2:2" x14ac:dyDescent="0.35">
      <c r="B140" s="8">
        <v>8.1088485407938324E-2</v>
      </c>
    </row>
    <row r="141" spans="2:2" x14ac:dyDescent="0.35">
      <c r="B141" s="8">
        <v>9.9312706632284156E-2</v>
      </c>
    </row>
    <row r="142" spans="2:2" x14ac:dyDescent="0.35">
      <c r="B142" s="8">
        <v>0.1404493766353567</v>
      </c>
    </row>
    <row r="143" spans="2:2" x14ac:dyDescent="0.35">
      <c r="B143" s="8">
        <v>0.2</v>
      </c>
    </row>
    <row r="144" spans="2:2" x14ac:dyDescent="0.35">
      <c r="B144" s="8">
        <v>4.1545485883068854E-2</v>
      </c>
    </row>
    <row r="145" spans="2:2" x14ac:dyDescent="0.35">
      <c r="B145" s="8">
        <v>5.8754189591215943E-2</v>
      </c>
    </row>
    <row r="146" spans="2:2" x14ac:dyDescent="0.35">
      <c r="B146" s="8">
        <v>7.1958892374610811E-2</v>
      </c>
    </row>
    <row r="147" spans="2:2" x14ac:dyDescent="0.35">
      <c r="B147" s="8">
        <v>8.3090971766137708E-2</v>
      </c>
    </row>
    <row r="148" spans="2:2" x14ac:dyDescent="0.35">
      <c r="B148" s="8">
        <v>0.12163272811190746</v>
      </c>
    </row>
    <row r="149" spans="2:2" x14ac:dyDescent="0.35">
      <c r="B149" s="8">
        <v>0.14896905994842621</v>
      </c>
    </row>
    <row r="150" spans="2:2" x14ac:dyDescent="0.35">
      <c r="B150" s="8">
        <v>0.21067406495303501</v>
      </c>
    </row>
    <row r="151" spans="2:2" x14ac:dyDescent="0.35">
      <c r="B151" s="8">
        <v>0.3</v>
      </c>
    </row>
    <row r="152" spans="2:2" x14ac:dyDescent="0.35">
      <c r="B152" s="8">
        <f>$B123*SQRT(C$119/365)</f>
        <v>5.5393981177425146E-2</v>
      </c>
    </row>
    <row r="153" spans="2:2" x14ac:dyDescent="0.35">
      <c r="B153" s="8">
        <f>$B123*SQRT(D$119/365)</f>
        <v>7.8338919454954595E-2</v>
      </c>
    </row>
    <row r="154" spans="2:2" x14ac:dyDescent="0.35">
      <c r="B154" s="8">
        <f>$B123*SQRT(E$119/365)</f>
        <v>9.5945189832814415E-2</v>
      </c>
    </row>
    <row r="155" spans="2:2" x14ac:dyDescent="0.35">
      <c r="B155" s="8">
        <f>$B123*SQRT(F$119/365)</f>
        <v>0.11078796235485029</v>
      </c>
    </row>
    <row r="156" spans="2:2" x14ac:dyDescent="0.35">
      <c r="B156" s="8">
        <f>$B123*SQRT(G$119/365)</f>
        <v>0.16217697081587665</v>
      </c>
    </row>
    <row r="157" spans="2:2" x14ac:dyDescent="0.35">
      <c r="B157" s="8">
        <f>$B123*SQRT(H$119/365)</f>
        <v>0.19862541326456831</v>
      </c>
    </row>
    <row r="158" spans="2:2" x14ac:dyDescent="0.35">
      <c r="B158" s="8">
        <f>$B123*SQRT(I$119/365)</f>
        <v>0.2808987532707134</v>
      </c>
    </row>
    <row r="159" spans="2:2" x14ac:dyDescent="0.35">
      <c r="B159" s="8">
        <f>$B123*SQRT(J$119/365)</f>
        <v>0.4</v>
      </c>
    </row>
    <row r="160" spans="2:2" x14ac:dyDescent="0.35">
      <c r="B160" s="8">
        <f>$B124*SQRT(C$119/365)</f>
        <v>6.9242476471781431E-2</v>
      </c>
    </row>
    <row r="161" spans="2:2" x14ac:dyDescent="0.35">
      <c r="B161" s="8">
        <f>$B124*SQRT(D$119/365)</f>
        <v>9.792364931869324E-2</v>
      </c>
    </row>
    <row r="162" spans="2:2" x14ac:dyDescent="0.35">
      <c r="B162" s="8">
        <f>$B124*SQRT(E$119/365)</f>
        <v>0.11993148729101802</v>
      </c>
    </row>
    <row r="163" spans="2:2" x14ac:dyDescent="0.35">
      <c r="B163" s="8">
        <f>$B124*SQRT(F$119/365)</f>
        <v>0.13848495294356286</v>
      </c>
    </row>
    <row r="164" spans="2:2" x14ac:dyDescent="0.35">
      <c r="B164" s="8">
        <f>$B124*SQRT(G$119/365)</f>
        <v>0.20272121351984579</v>
      </c>
    </row>
    <row r="165" spans="2:2" x14ac:dyDescent="0.35">
      <c r="B165" s="8">
        <f>$B124*SQRT(H$119/365)</f>
        <v>0.24828176658071038</v>
      </c>
    </row>
    <row r="166" spans="2:2" x14ac:dyDescent="0.35">
      <c r="B166" s="8">
        <f>$B124*SQRT(I$119/365)</f>
        <v>0.3511234415883917</v>
      </c>
    </row>
    <row r="167" spans="2:2" x14ac:dyDescent="0.35">
      <c r="B167" s="8">
        <f>$B124*SQRT(J$119/365)</f>
        <v>0.5</v>
      </c>
    </row>
    <row r="168" spans="2:2" x14ac:dyDescent="0.35">
      <c r="B168" s="8">
        <f>$B125*SQRT(C$119/365)</f>
        <v>8.3090971766137708E-2</v>
      </c>
    </row>
    <row r="169" spans="2:2" x14ac:dyDescent="0.35">
      <c r="B169" s="8">
        <f>$B125*SQRT(D$119/365)</f>
        <v>0.11750837918243189</v>
      </c>
    </row>
    <row r="170" spans="2:2" x14ac:dyDescent="0.35">
      <c r="B170" s="8">
        <f>$B125*SQRT(E$119/365)</f>
        <v>0.14391778474922162</v>
      </c>
    </row>
    <row r="171" spans="2:2" x14ac:dyDescent="0.35">
      <c r="B171" s="8">
        <f>$B125*SQRT(F$119/365)</f>
        <v>0.16618194353227542</v>
      </c>
    </row>
    <row r="172" spans="2:2" x14ac:dyDescent="0.35">
      <c r="B172" s="8">
        <f>$B125*SQRT(G$119/365)</f>
        <v>0.24326545622381493</v>
      </c>
    </row>
    <row r="173" spans="2:2" x14ac:dyDescent="0.35">
      <c r="B173" s="8">
        <f>$B125*SQRT(H$119/365)</f>
        <v>0.29793811989685243</v>
      </c>
    </row>
    <row r="174" spans="2:2" x14ac:dyDescent="0.35">
      <c r="B174" s="8">
        <f>$B125*SQRT(I$119/365)</f>
        <v>0.42134812990607001</v>
      </c>
    </row>
    <row r="175" spans="2:2" x14ac:dyDescent="0.35">
      <c r="B175" s="8">
        <f>$B125*SQRT(J$119/365)</f>
        <v>0.6</v>
      </c>
    </row>
  </sheetData>
  <autoFilter ref="A6:H26" xr:uid="{00000000-0009-0000-0000-00000E000000}"/>
  <mergeCells count="1">
    <mergeCell ref="I38:T38"/>
  </mergeCells>
  <pageMargins left="0.7" right="0.7" top="0.75" bottom="0.75" header="0.3" footer="0.3"/>
  <pageSetup orientation="portrait" horizontalDpi="1200" verticalDpi="1200" r:id="rId1"/>
  <drawing r:id="rId2"/>
  <legacy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U63"/>
  <sheetViews>
    <sheetView zoomScaleNormal="100" workbookViewId="0"/>
  </sheetViews>
  <sheetFormatPr defaultRowHeight="14.5" x14ac:dyDescent="0.35"/>
  <cols>
    <col min="3" max="3" width="9.1796875" style="28"/>
    <col min="4" max="4" width="13.26953125" customWidth="1"/>
    <col min="7" max="7" width="11" customWidth="1"/>
    <col min="8" max="8" width="18.81640625" bestFit="1" customWidth="1"/>
    <col min="16" max="16" width="12.54296875" bestFit="1" customWidth="1"/>
    <col min="19" max="19" width="12" bestFit="1" customWidth="1"/>
    <col min="20" max="20" width="15.7265625" customWidth="1"/>
  </cols>
  <sheetData>
    <row r="1" spans="1:21" x14ac:dyDescent="0.35">
      <c r="M1">
        <f>1/SQRT(2*PI())</f>
        <v>0.3989422804014327</v>
      </c>
      <c r="N1">
        <f>SLOPE(O4:O21,N4:N21)</f>
        <v>0.39877800310781625</v>
      </c>
      <c r="O1" s="26">
        <v>0.1</v>
      </c>
      <c r="T1">
        <f>CORREL(T4:T21,U4:U21)</f>
        <v>0.99998703118723176</v>
      </c>
    </row>
    <row r="2" spans="1:21" x14ac:dyDescent="0.35">
      <c r="E2" t="s">
        <v>190</v>
      </c>
      <c r="F2" t="s">
        <v>191</v>
      </c>
      <c r="G2" t="s">
        <v>182</v>
      </c>
      <c r="H2" s="36">
        <v>0.1</v>
      </c>
      <c r="I2" s="36">
        <v>0.2</v>
      </c>
      <c r="J2" s="36">
        <v>0.3</v>
      </c>
      <c r="K2" s="36">
        <v>0.4</v>
      </c>
      <c r="L2" s="26">
        <v>0.5</v>
      </c>
      <c r="N2" s="26">
        <f>O1</f>
        <v>0.1</v>
      </c>
      <c r="O2" s="26">
        <f>O1</f>
        <v>0.1</v>
      </c>
      <c r="Q2" t="s">
        <v>193</v>
      </c>
    </row>
    <row r="3" spans="1:21" x14ac:dyDescent="0.35">
      <c r="A3" t="s">
        <v>187</v>
      </c>
      <c r="B3" t="s">
        <v>188</v>
      </c>
      <c r="C3" s="28" t="s">
        <v>189</v>
      </c>
      <c r="D3" t="s">
        <v>50</v>
      </c>
      <c r="E3" t="s">
        <v>40</v>
      </c>
      <c r="F3" t="s">
        <v>180</v>
      </c>
      <c r="H3" t="str">
        <f>"IV="&amp;H2</f>
        <v>IV=0.1</v>
      </c>
      <c r="I3" t="str">
        <f>"IV="&amp;I2</f>
        <v>IV=0.2</v>
      </c>
      <c r="J3" t="str">
        <f>"IV="&amp;J2</f>
        <v>IV=0.3</v>
      </c>
      <c r="K3" t="str">
        <f>"IV="&amp;K2</f>
        <v>IV=0.4</v>
      </c>
      <c r="L3" t="str">
        <f>"IV="&amp;L2</f>
        <v>IV=0.5</v>
      </c>
      <c r="N3" t="s">
        <v>50</v>
      </c>
      <c r="O3" t="s">
        <v>200</v>
      </c>
      <c r="P3" t="s">
        <v>214</v>
      </c>
      <c r="Q3" t="s">
        <v>194</v>
      </c>
      <c r="R3" t="s">
        <v>192</v>
      </c>
      <c r="S3" t="s">
        <v>196</v>
      </c>
      <c r="T3" t="s">
        <v>195</v>
      </c>
      <c r="U3" t="s">
        <v>197</v>
      </c>
    </row>
    <row r="4" spans="1:21" x14ac:dyDescent="0.35">
      <c r="A4" s="26">
        <v>0.2</v>
      </c>
      <c r="B4">
        <v>0.01</v>
      </c>
      <c r="C4" s="28">
        <f>B4/365</f>
        <v>2.7397260273972603E-5</v>
      </c>
      <c r="D4">
        <f>0.5*H$2*SQRT(B4/365)</f>
        <v>2.6171196129510686E-4</v>
      </c>
      <c r="E4">
        <v>100</v>
      </c>
      <c r="F4">
        <v>100</v>
      </c>
      <c r="G4" t="str">
        <f>"Tdays="&amp;B4</f>
        <v>Tdays=0.01</v>
      </c>
      <c r="H4">
        <f t="shared" ref="H4:L8" si="0">2*(NORMDIST(0.5*H$2*SQRT($B4/365),0,1,TRUE)-0.5)*$E4</f>
        <v>2.0881593091104378E-2</v>
      </c>
      <c r="I4">
        <f t="shared" si="0"/>
        <v>4.1763184751975047E-2</v>
      </c>
      <c r="J4">
        <f t="shared" si="0"/>
        <v>6.2644773552333888E-2</v>
      </c>
      <c r="K4">
        <f t="shared" si="0"/>
        <v>8.3526358061969397E-2</v>
      </c>
      <c r="L4">
        <f t="shared" si="0"/>
        <v>0.10440793685062566</v>
      </c>
      <c r="N4">
        <f>0.5*N$2*SQRT($B4/365)</f>
        <v>2.6171196129510686E-4</v>
      </c>
      <c r="O4">
        <f>NORMDIST(0.5*O$2*SQRT($B4/365),0,1,TRUE)-0.5</f>
        <v>1.0440796545552189E-4</v>
      </c>
      <c r="P4">
        <f>N4/SQRT(2*PI())</f>
        <v>1.0440796664740142E-4</v>
      </c>
      <c r="Q4">
        <f>B4</f>
        <v>0.01</v>
      </c>
      <c r="R4">
        <f>SLOPE($H4:$L4,$H$2:$L$2)</f>
        <v>0.20881586082903691</v>
      </c>
      <c r="S4">
        <f>Q4/365</f>
        <v>2.7397260273972603E-5</v>
      </c>
      <c r="T4">
        <f>R4/$R$21</f>
        <v>5.3007852655681904E-3</v>
      </c>
      <c r="U4">
        <f>SQRT(S4)</f>
        <v>5.2342392259021372E-3</v>
      </c>
    </row>
    <row r="5" spans="1:21" x14ac:dyDescent="0.35">
      <c r="A5" s="26">
        <v>0.2</v>
      </c>
      <c r="B5">
        <v>1</v>
      </c>
      <c r="C5" s="28">
        <f>B5/365</f>
        <v>2.7397260273972603E-3</v>
      </c>
      <c r="D5">
        <f>0.5*H$2*SQRT(B5/365)</f>
        <v>2.6171196129510686E-3</v>
      </c>
      <c r="E5">
        <v>100</v>
      </c>
      <c r="F5">
        <v>100</v>
      </c>
      <c r="G5" t="str">
        <f t="shared" ref="G5:G21" si="1">"Tdays="&amp;B5</f>
        <v>Tdays=1</v>
      </c>
      <c r="H5">
        <f t="shared" si="0"/>
        <v>0.2088156949207054</v>
      </c>
      <c r="I5">
        <f t="shared" si="0"/>
        <v>0.41762995960261673</v>
      </c>
      <c r="J5">
        <f t="shared" si="0"/>
        <v>0.62644136383638305</v>
      </c>
      <c r="K5">
        <f t="shared" si="0"/>
        <v>0.8352484774714064</v>
      </c>
      <c r="L5">
        <f t="shared" si="0"/>
        <v>1.0440498704451961</v>
      </c>
      <c r="N5">
        <f t="shared" ref="N5:N21" si="2">0.5*N$2*SQRT($B5/365)</f>
        <v>2.6171196129510686E-3</v>
      </c>
      <c r="O5">
        <f t="shared" ref="O5:O21" si="3">NORMDIST(0.5*O$2*SQRT($B5/365),0,1,TRUE)-0.5</f>
        <v>1.044078474603527E-3</v>
      </c>
      <c r="P5">
        <f t="shared" ref="P5:P21" si="4">N5/SQRT(2*PI())</f>
        <v>1.0440796664740143E-3</v>
      </c>
      <c r="Q5">
        <f t="shared" ref="Q5:Q21" si="5">B5</f>
        <v>1</v>
      </c>
      <c r="R5">
        <f t="shared" ref="R5:R21" si="6">SLOPE($H5:$L5,$H$2:$L$2)</f>
        <v>2.0880868689177712</v>
      </c>
      <c r="S5">
        <f t="shared" ref="S5:S21" si="7">Q5/365</f>
        <v>2.7397260273972603E-3</v>
      </c>
      <c r="T5">
        <f t="shared" ref="T5:T21" si="8">R5/$R$21</f>
        <v>5.3006031553550492E-2</v>
      </c>
      <c r="U5">
        <f t="shared" ref="U5:U21" si="9">SQRT(S5)</f>
        <v>5.2342392259021368E-2</v>
      </c>
    </row>
    <row r="6" spans="1:21" x14ac:dyDescent="0.35">
      <c r="A6" s="26">
        <v>0.2</v>
      </c>
      <c r="B6">
        <v>7</v>
      </c>
      <c r="C6" s="28">
        <f>B6/365</f>
        <v>1.9178082191780823E-2</v>
      </c>
      <c r="D6">
        <f>0.5*H$2*SQRT(B6/365)</f>
        <v>6.9242476471781432E-3</v>
      </c>
      <c r="E6">
        <v>100</v>
      </c>
      <c r="F6">
        <v>100</v>
      </c>
      <c r="G6" t="str">
        <f t="shared" si="1"/>
        <v>Tdays=7</v>
      </c>
      <c r="H6">
        <f t="shared" si="0"/>
        <v>0.55247061456284996</v>
      </c>
      <c r="I6">
        <f t="shared" si="0"/>
        <v>1.1049147415493898</v>
      </c>
      <c r="J6">
        <f t="shared" si="0"/>
        <v>1.6573058971929289</v>
      </c>
      <c r="K6">
        <f t="shared" si="0"/>
        <v>2.2096176053453709</v>
      </c>
      <c r="L6">
        <f t="shared" si="0"/>
        <v>2.7618234012839249</v>
      </c>
      <c r="N6">
        <f t="shared" si="2"/>
        <v>6.9242476471781432E-3</v>
      </c>
      <c r="O6">
        <f t="shared" si="3"/>
        <v>2.7623530728142498E-3</v>
      </c>
      <c r="P6">
        <f t="shared" si="4"/>
        <v>2.7623751464295036E-3</v>
      </c>
      <c r="Q6">
        <f t="shared" si="5"/>
        <v>7</v>
      </c>
      <c r="R6">
        <f t="shared" si="6"/>
        <v>5.5234084372381309</v>
      </c>
      <c r="S6">
        <f t="shared" si="7"/>
        <v>1.9178082191780823E-2</v>
      </c>
      <c r="T6">
        <f t="shared" si="8"/>
        <v>0.14021158135970291</v>
      </c>
      <c r="U6">
        <f t="shared" si="9"/>
        <v>0.13848495294356286</v>
      </c>
    </row>
    <row r="7" spans="1:21" x14ac:dyDescent="0.35">
      <c r="A7" s="26">
        <v>0.2</v>
      </c>
      <c r="B7">
        <f>B6+7</f>
        <v>14</v>
      </c>
      <c r="C7" s="28">
        <f>B7/365</f>
        <v>3.8356164383561646E-2</v>
      </c>
      <c r="D7">
        <f>0.5*H$2*SQRT(B7/365)</f>
        <v>9.7923649318693243E-3</v>
      </c>
      <c r="E7">
        <v>100</v>
      </c>
      <c r="F7">
        <v>100</v>
      </c>
      <c r="G7" t="str">
        <f t="shared" si="1"/>
        <v>Tdays=14</v>
      </c>
      <c r="H7">
        <f t="shared" si="0"/>
        <v>0.78130519265595666</v>
      </c>
      <c r="I7">
        <f t="shared" si="0"/>
        <v>1.562535469826476</v>
      </c>
      <c r="J7">
        <f t="shared" si="0"/>
        <v>2.3436159375751719</v>
      </c>
      <c r="K7">
        <f t="shared" si="0"/>
        <v>3.1244717450536807</v>
      </c>
      <c r="L7">
        <f t="shared" si="0"/>
        <v>3.9050281060196701</v>
      </c>
      <c r="N7">
        <f t="shared" si="2"/>
        <v>9.7923649318693243E-3</v>
      </c>
      <c r="O7">
        <f t="shared" si="3"/>
        <v>3.9065259632797833E-3</v>
      </c>
      <c r="P7">
        <f t="shared" si="4"/>
        <v>3.9065883964429686E-3</v>
      </c>
      <c r="Q7">
        <f t="shared" si="5"/>
        <v>14</v>
      </c>
      <c r="R7">
        <f t="shared" si="6"/>
        <v>7.8093821019546317</v>
      </c>
      <c r="S7">
        <f t="shared" si="7"/>
        <v>3.8356164383561646E-2</v>
      </c>
      <c r="T7">
        <f t="shared" si="8"/>
        <v>0.19824096414364301</v>
      </c>
      <c r="U7">
        <f t="shared" si="9"/>
        <v>0.19584729863738648</v>
      </c>
    </row>
    <row r="8" spans="1:21" x14ac:dyDescent="0.35">
      <c r="A8" s="26">
        <v>0.2</v>
      </c>
      <c r="B8">
        <f>B7+7</f>
        <v>21</v>
      </c>
      <c r="C8" s="28">
        <f>B8/365</f>
        <v>5.7534246575342465E-2</v>
      </c>
      <c r="D8">
        <f>0.5*H$2*SQRT(B8/365)</f>
        <v>1.1993148729101802E-2</v>
      </c>
      <c r="E8">
        <v>100</v>
      </c>
      <c r="F8">
        <v>100</v>
      </c>
      <c r="G8" t="str">
        <f t="shared" si="1"/>
        <v>Tdays=21</v>
      </c>
      <c r="H8">
        <f t="shared" si="0"/>
        <v>0.95689188139234105</v>
      </c>
      <c r="I8">
        <f t="shared" si="0"/>
        <v>1.9136461391985105</v>
      </c>
      <c r="J8">
        <f t="shared" si="0"/>
        <v>2.8701252092099949</v>
      </c>
      <c r="K8">
        <f t="shared" si="0"/>
        <v>3.8261916459309653</v>
      </c>
      <c r="L8">
        <f t="shared" si="0"/>
        <v>4.7817081818279483</v>
      </c>
      <c r="N8">
        <f t="shared" si="2"/>
        <v>1.1993148729101802E-2</v>
      </c>
      <c r="O8">
        <f t="shared" si="3"/>
        <v>4.7844594069617052E-3</v>
      </c>
      <c r="P8">
        <f t="shared" si="4"/>
        <v>4.7845741031814172E-3</v>
      </c>
      <c r="Q8">
        <f t="shared" si="5"/>
        <v>21</v>
      </c>
      <c r="R8">
        <f t="shared" si="6"/>
        <v>9.5621781076036676</v>
      </c>
      <c r="S8">
        <f t="shared" si="7"/>
        <v>5.7534246575342465E-2</v>
      </c>
      <c r="T8">
        <f t="shared" si="8"/>
        <v>0.24273564574207834</v>
      </c>
      <c r="U8">
        <f t="shared" si="9"/>
        <v>0.23986297458203604</v>
      </c>
    </row>
    <row r="9" spans="1:21" x14ac:dyDescent="0.35">
      <c r="A9" s="26">
        <v>0.2</v>
      </c>
      <c r="B9">
        <v>30</v>
      </c>
      <c r="C9" s="28">
        <f t="shared" ref="C9:C21" si="10">B9/365</f>
        <v>8.2191780821917804E-2</v>
      </c>
      <c r="D9">
        <f t="shared" ref="D9:D21" si="11">0.5*H$2*SQRT(B9/365)</f>
        <v>1.4334554477024898E-2</v>
      </c>
      <c r="E9">
        <v>100</v>
      </c>
      <c r="F9">
        <v>100</v>
      </c>
      <c r="G9" t="str">
        <f t="shared" si="1"/>
        <v>Tdays=30</v>
      </c>
      <c r="H9">
        <f t="shared" ref="H9:L21" si="12">2*(NORMDIST(0.5*H$2*SQRT($B9/365),0,1,TRUE)-0.5)*$E9</f>
        <v>1.1436928026247184</v>
      </c>
      <c r="I9">
        <f t="shared" si="12"/>
        <v>2.2871506280449649</v>
      </c>
      <c r="J9">
        <f t="shared" si="12"/>
        <v>3.430138643877978</v>
      </c>
      <c r="K9">
        <f t="shared" si="12"/>
        <v>4.5724223072356018</v>
      </c>
      <c r="L9">
        <f t="shared" si="12"/>
        <v>5.7137675090999318</v>
      </c>
      <c r="N9">
        <f t="shared" si="2"/>
        <v>1.4334554477024898E-2</v>
      </c>
      <c r="O9">
        <f t="shared" si="3"/>
        <v>5.718464013123592E-3</v>
      </c>
      <c r="P9">
        <f t="shared" si="4"/>
        <v>5.7186598516028794E-3</v>
      </c>
      <c r="Q9">
        <f t="shared" si="5"/>
        <v>30</v>
      </c>
      <c r="R9">
        <f t="shared" si="6"/>
        <v>11.425421092141063</v>
      </c>
      <c r="S9">
        <f t="shared" si="7"/>
        <v>8.2191780821917804E-2</v>
      </c>
      <c r="T9">
        <f t="shared" si="8"/>
        <v>0.29003402106374704</v>
      </c>
      <c r="U9">
        <f t="shared" si="9"/>
        <v>0.28669108954049793</v>
      </c>
    </row>
    <row r="10" spans="1:21" x14ac:dyDescent="0.35">
      <c r="A10" s="26">
        <v>0.2</v>
      </c>
      <c r="B10">
        <v>60</v>
      </c>
      <c r="C10" s="28">
        <f t="shared" si="10"/>
        <v>0.16438356164383561</v>
      </c>
      <c r="D10">
        <f t="shared" si="11"/>
        <v>2.0272121351984581E-2</v>
      </c>
      <c r="E10">
        <v>100</v>
      </c>
      <c r="F10">
        <v>100</v>
      </c>
      <c r="G10" t="str">
        <f t="shared" si="1"/>
        <v>Tdays=60</v>
      </c>
      <c r="H10">
        <f t="shared" si="12"/>
        <v>1.6173704845880543</v>
      </c>
      <c r="I10">
        <f t="shared" si="12"/>
        <v>3.234076455685253</v>
      </c>
      <c r="J10">
        <f t="shared" si="12"/>
        <v>4.8494542187553336</v>
      </c>
      <c r="K10">
        <f t="shared" si="12"/>
        <v>6.4628417154894979</v>
      </c>
      <c r="L10">
        <f t="shared" si="12"/>
        <v>8.0735793377201492</v>
      </c>
      <c r="N10">
        <f t="shared" si="2"/>
        <v>2.0272121351984581E-2</v>
      </c>
      <c r="O10">
        <f t="shared" si="3"/>
        <v>8.0868524229402716E-3</v>
      </c>
      <c r="P10">
        <f t="shared" si="4"/>
        <v>8.0874063207353047E-3</v>
      </c>
      <c r="Q10">
        <f t="shared" si="5"/>
        <v>60</v>
      </c>
      <c r="R10">
        <f t="shared" si="6"/>
        <v>16.141182966068435</v>
      </c>
      <c r="S10">
        <f t="shared" si="7"/>
        <v>0.16438356164383561</v>
      </c>
      <c r="T10">
        <f t="shared" si="8"/>
        <v>0.4097435151510202</v>
      </c>
      <c r="U10">
        <f t="shared" si="9"/>
        <v>0.40544242703969158</v>
      </c>
    </row>
    <row r="11" spans="1:21" x14ac:dyDescent="0.35">
      <c r="A11" s="26">
        <v>0.2</v>
      </c>
      <c r="B11">
        <v>90</v>
      </c>
      <c r="C11" s="28">
        <f t="shared" si="10"/>
        <v>0.24657534246575341</v>
      </c>
      <c r="D11">
        <f t="shared" si="11"/>
        <v>2.4828176658071039E-2</v>
      </c>
      <c r="E11">
        <v>100</v>
      </c>
      <c r="F11">
        <v>100</v>
      </c>
      <c r="G11" t="str">
        <f t="shared" si="1"/>
        <v>Tdays=90</v>
      </c>
      <c r="H11">
        <f t="shared" si="12"/>
        <v>1.9807983740633528</v>
      </c>
      <c r="I11">
        <f t="shared" si="12"/>
        <v>3.9603761469884535</v>
      </c>
      <c r="J11">
        <f t="shared" si="12"/>
        <v>5.9375149736382582</v>
      </c>
      <c r="K11">
        <f t="shared" si="12"/>
        <v>7.9110010139296971</v>
      </c>
      <c r="L11">
        <f t="shared" si="12"/>
        <v>9.8796271680208889</v>
      </c>
      <c r="N11">
        <f t="shared" si="2"/>
        <v>2.4828176658071039E-2</v>
      </c>
      <c r="O11">
        <f t="shared" si="3"/>
        <v>9.903991870316764E-3</v>
      </c>
      <c r="P11">
        <f t="shared" si="4"/>
        <v>9.9050094141804827E-3</v>
      </c>
      <c r="Q11">
        <f t="shared" si="5"/>
        <v>90</v>
      </c>
      <c r="R11">
        <f t="shared" si="6"/>
        <v>19.748282454856316</v>
      </c>
      <c r="S11">
        <f t="shared" si="7"/>
        <v>0.24657534246575341</v>
      </c>
      <c r="T11">
        <f t="shared" si="8"/>
        <v>0.50130964305765358</v>
      </c>
      <c r="U11">
        <f t="shared" si="9"/>
        <v>0.49656353316142077</v>
      </c>
    </row>
    <row r="12" spans="1:21" x14ac:dyDescent="0.35">
      <c r="A12" s="26">
        <v>0.2</v>
      </c>
      <c r="B12">
        <v>120</v>
      </c>
      <c r="C12" s="28">
        <f t="shared" si="10"/>
        <v>0.32876712328767121</v>
      </c>
      <c r="D12">
        <f t="shared" si="11"/>
        <v>2.8669108954049796E-2</v>
      </c>
      <c r="E12">
        <v>100</v>
      </c>
      <c r="F12">
        <v>100</v>
      </c>
      <c r="G12" t="str">
        <f t="shared" si="1"/>
        <v>Tdays=120</v>
      </c>
      <c r="H12">
        <f t="shared" si="12"/>
        <v>2.2871506280449649</v>
      </c>
      <c r="I12">
        <f t="shared" si="12"/>
        <v>4.5724223072356018</v>
      </c>
      <c r="J12">
        <f t="shared" si="12"/>
        <v>6.8539407182535594</v>
      </c>
      <c r="K12">
        <f t="shared" si="12"/>
        <v>9.1298407818463101</v>
      </c>
      <c r="L12">
        <f t="shared" si="12"/>
        <v>11.39827123145456</v>
      </c>
      <c r="N12">
        <f t="shared" si="2"/>
        <v>2.8669108954049796E-2</v>
      </c>
      <c r="O12">
        <f t="shared" si="3"/>
        <v>1.1435753140224825E-2</v>
      </c>
      <c r="P12">
        <f t="shared" si="4"/>
        <v>1.1437319703205759E-2</v>
      </c>
      <c r="Q12">
        <f t="shared" si="5"/>
        <v>120</v>
      </c>
      <c r="R12">
        <f t="shared" si="6"/>
        <v>22.779659681429898</v>
      </c>
      <c r="S12">
        <f t="shared" si="7"/>
        <v>0.32876712328767121</v>
      </c>
      <c r="T12">
        <f t="shared" si="8"/>
        <v>0.57826107612027933</v>
      </c>
      <c r="U12">
        <f t="shared" si="9"/>
        <v>0.57338217908099587</v>
      </c>
    </row>
    <row r="13" spans="1:21" x14ac:dyDescent="0.35">
      <c r="A13" s="26">
        <v>0.2</v>
      </c>
      <c r="B13">
        <v>150</v>
      </c>
      <c r="C13" s="28">
        <f t="shared" si="10"/>
        <v>0.41095890410958902</v>
      </c>
      <c r="D13">
        <f t="shared" si="11"/>
        <v>3.2053038237801618E-2</v>
      </c>
      <c r="E13">
        <v>100</v>
      </c>
      <c r="F13">
        <v>100</v>
      </c>
      <c r="G13" t="str">
        <f t="shared" si="1"/>
        <v>Tdays=150</v>
      </c>
      <c r="H13">
        <f t="shared" si="12"/>
        <v>2.5570245795066615</v>
      </c>
      <c r="I13">
        <f t="shared" si="12"/>
        <v>5.1114236527138202</v>
      </c>
      <c r="J13">
        <f t="shared" si="12"/>
        <v>7.6605797980202173</v>
      </c>
      <c r="K13">
        <f t="shared" si="12"/>
        <v>10.201891721743305</v>
      </c>
      <c r="L13">
        <f t="shared" si="12"/>
        <v>12.732782218682104</v>
      </c>
      <c r="N13">
        <f t="shared" si="2"/>
        <v>3.2053038237801618E-2</v>
      </c>
      <c r="O13">
        <f t="shared" si="3"/>
        <v>1.2785122897533308E-2</v>
      </c>
      <c r="P13">
        <f t="shared" si="4"/>
        <v>1.2787312168382898E-2</v>
      </c>
      <c r="Q13">
        <f t="shared" si="5"/>
        <v>150</v>
      </c>
      <c r="R13">
        <f t="shared" si="6"/>
        <v>25.441983347380368</v>
      </c>
      <c r="S13">
        <f t="shared" si="7"/>
        <v>0.41095890410958902</v>
      </c>
      <c r="T13">
        <f t="shared" si="8"/>
        <v>0.64584409402234355</v>
      </c>
      <c r="U13">
        <f t="shared" si="9"/>
        <v>0.64106076475603235</v>
      </c>
    </row>
    <row r="14" spans="1:21" x14ac:dyDescent="0.35">
      <c r="A14" s="26">
        <v>0.2</v>
      </c>
      <c r="B14">
        <v>180</v>
      </c>
      <c r="C14" s="28">
        <f t="shared" si="10"/>
        <v>0.49315068493150682</v>
      </c>
      <c r="D14">
        <f t="shared" si="11"/>
        <v>3.5112344158839175E-2</v>
      </c>
      <c r="E14">
        <v>100</v>
      </c>
      <c r="F14">
        <v>100</v>
      </c>
      <c r="G14" t="str">
        <f t="shared" si="1"/>
        <v>Tdays=180</v>
      </c>
      <c r="H14">
        <f t="shared" si="12"/>
        <v>2.800984173277854</v>
      </c>
      <c r="I14">
        <f t="shared" si="12"/>
        <v>5.5985175605854254</v>
      </c>
      <c r="J14">
        <f t="shared" si="12"/>
        <v>8.3891621247215831</v>
      </c>
      <c r="K14">
        <f t="shared" si="12"/>
        <v>11.169505247556444</v>
      </c>
      <c r="L14">
        <f t="shared" si="12"/>
        <v>13.936172244074218</v>
      </c>
      <c r="N14">
        <f t="shared" si="2"/>
        <v>3.5112344158839175E-2</v>
      </c>
      <c r="O14">
        <f t="shared" si="3"/>
        <v>1.400492086638927E-2</v>
      </c>
      <c r="P14">
        <f t="shared" si="4"/>
        <v>1.4007798648967226E-2</v>
      </c>
      <c r="Q14">
        <f t="shared" si="5"/>
        <v>180</v>
      </c>
      <c r="R14">
        <f t="shared" si="6"/>
        <v>27.841363828563743</v>
      </c>
      <c r="S14">
        <f t="shared" si="7"/>
        <v>0.49315068493150682</v>
      </c>
      <c r="T14">
        <f t="shared" si="8"/>
        <v>0.70675230593045046</v>
      </c>
      <c r="U14">
        <f t="shared" si="9"/>
        <v>0.70224688317678341</v>
      </c>
    </row>
    <row r="15" spans="1:21" x14ac:dyDescent="0.35">
      <c r="A15" s="26">
        <v>0.2</v>
      </c>
      <c r="B15">
        <v>210</v>
      </c>
      <c r="C15" s="28">
        <f t="shared" si="10"/>
        <v>0.57534246575342463</v>
      </c>
      <c r="D15">
        <f t="shared" si="11"/>
        <v>3.7925666301115421E-2</v>
      </c>
      <c r="E15">
        <v>100</v>
      </c>
      <c r="F15">
        <v>100</v>
      </c>
      <c r="G15" t="str">
        <f t="shared" si="1"/>
        <v>Tdays=210</v>
      </c>
      <c r="H15">
        <f t="shared" si="12"/>
        <v>3.0253050982298468</v>
      </c>
      <c r="I15">
        <f t="shared" si="12"/>
        <v>6.0462623790069836</v>
      </c>
      <c r="J15">
        <f t="shared" si="12"/>
        <v>9.0585427612971614</v>
      </c>
      <c r="K15">
        <f t="shared" si="12"/>
        <v>12.057854502396825</v>
      </c>
      <c r="L15">
        <f t="shared" si="12"/>
        <v>15.039961532183789</v>
      </c>
      <c r="N15">
        <f t="shared" si="2"/>
        <v>3.7925666301115421E-2</v>
      </c>
      <c r="O15">
        <f t="shared" si="3"/>
        <v>1.5126525491149234E-2</v>
      </c>
      <c r="P15">
        <f t="shared" si="4"/>
        <v>1.5130151799910755E-2</v>
      </c>
      <c r="Q15">
        <f t="shared" si="5"/>
        <v>210</v>
      </c>
      <c r="R15">
        <f t="shared" si="6"/>
        <v>30.040904991297726</v>
      </c>
      <c r="S15">
        <f t="shared" si="7"/>
        <v>0.57534246575342463</v>
      </c>
      <c r="T15">
        <f t="shared" si="8"/>
        <v>0.76258760187081387</v>
      </c>
      <c r="U15">
        <f t="shared" si="9"/>
        <v>0.75851332602230837</v>
      </c>
    </row>
    <row r="16" spans="1:21" x14ac:dyDescent="0.35">
      <c r="A16" s="26">
        <v>0.2</v>
      </c>
      <c r="B16">
        <v>240</v>
      </c>
      <c r="C16" s="28">
        <f t="shared" si="10"/>
        <v>0.65753424657534243</v>
      </c>
      <c r="D16">
        <f t="shared" si="11"/>
        <v>4.0544242703969162E-2</v>
      </c>
      <c r="E16">
        <v>100</v>
      </c>
      <c r="F16">
        <v>100</v>
      </c>
      <c r="G16" t="str">
        <f t="shared" si="1"/>
        <v>Tdays=240</v>
      </c>
      <c r="H16">
        <f t="shared" si="12"/>
        <v>3.234076455685253</v>
      </c>
      <c r="I16">
        <f t="shared" si="12"/>
        <v>6.4628417154894979</v>
      </c>
      <c r="J16">
        <f t="shared" si="12"/>
        <v>9.6810107363081155</v>
      </c>
      <c r="K16">
        <f t="shared" si="12"/>
        <v>12.883350566075791</v>
      </c>
      <c r="L16">
        <f t="shared" si="12"/>
        <v>16.064705855464865</v>
      </c>
      <c r="N16">
        <f t="shared" si="2"/>
        <v>4.0544242703969162E-2</v>
      </c>
      <c r="O16">
        <f t="shared" si="3"/>
        <v>1.6170382278426265E-2</v>
      </c>
      <c r="P16">
        <f t="shared" si="4"/>
        <v>1.6174812641470609E-2</v>
      </c>
      <c r="Q16">
        <f t="shared" si="5"/>
        <v>240</v>
      </c>
      <c r="R16">
        <f t="shared" si="6"/>
        <v>32.081767650145515</v>
      </c>
      <c r="S16">
        <f t="shared" si="7"/>
        <v>0.65753424657534243</v>
      </c>
      <c r="T16">
        <f t="shared" si="8"/>
        <v>0.81439484806427143</v>
      </c>
      <c r="U16">
        <f t="shared" si="9"/>
        <v>0.81088485407938315</v>
      </c>
    </row>
    <row r="17" spans="1:21" x14ac:dyDescent="0.35">
      <c r="A17" s="26">
        <v>0.2</v>
      </c>
      <c r="B17">
        <v>270</v>
      </c>
      <c r="C17" s="28">
        <f t="shared" si="10"/>
        <v>0.73972602739726023</v>
      </c>
      <c r="D17">
        <f t="shared" si="11"/>
        <v>4.3003663431074694E-2</v>
      </c>
      <c r="E17">
        <v>100</v>
      </c>
      <c r="F17">
        <v>100</v>
      </c>
      <c r="G17" t="str">
        <f t="shared" si="1"/>
        <v>Tdays=270</v>
      </c>
      <c r="H17">
        <f t="shared" si="12"/>
        <v>3.430138643877978</v>
      </c>
      <c r="I17">
        <f t="shared" si="12"/>
        <v>6.8539407182535594</v>
      </c>
      <c r="J17">
        <f t="shared" si="12"/>
        <v>10.265104749046516</v>
      </c>
      <c r="K17">
        <f t="shared" si="12"/>
        <v>13.65739912925763</v>
      </c>
      <c r="L17">
        <f t="shared" si="12"/>
        <v>17.024696247278868</v>
      </c>
      <c r="N17">
        <f t="shared" si="2"/>
        <v>4.3003663431074694E-2</v>
      </c>
      <c r="O17">
        <f t="shared" si="3"/>
        <v>1.715069321938989E-2</v>
      </c>
      <c r="P17">
        <f t="shared" si="4"/>
        <v>1.7155979554808638E-2</v>
      </c>
      <c r="Q17">
        <f t="shared" si="5"/>
        <v>270</v>
      </c>
      <c r="R17">
        <f t="shared" si="6"/>
        <v>33.992573617805853</v>
      </c>
      <c r="S17">
        <f t="shared" si="7"/>
        <v>0.73972602739726023</v>
      </c>
      <c r="T17">
        <f t="shared" si="8"/>
        <v>0.86290060849128414</v>
      </c>
      <c r="U17">
        <f t="shared" si="9"/>
        <v>0.8600732686214938</v>
      </c>
    </row>
    <row r="18" spans="1:21" x14ac:dyDescent="0.35">
      <c r="A18" s="26">
        <v>0.2</v>
      </c>
      <c r="B18">
        <v>300</v>
      </c>
      <c r="C18" s="28">
        <f t="shared" si="10"/>
        <v>0.82191780821917804</v>
      </c>
      <c r="D18">
        <f t="shared" si="11"/>
        <v>4.5329841391162459E-2</v>
      </c>
      <c r="E18">
        <v>100</v>
      </c>
      <c r="F18">
        <v>100</v>
      </c>
      <c r="G18" t="str">
        <f t="shared" si="1"/>
        <v>Tdays=300</v>
      </c>
      <c r="H18">
        <f t="shared" si="12"/>
        <v>3.6155598111688558</v>
      </c>
      <c r="I18">
        <f t="shared" si="12"/>
        <v>7.2236992868276229</v>
      </c>
      <c r="J18">
        <f t="shared" si="12"/>
        <v>10.81704374722614</v>
      </c>
      <c r="K18">
        <f t="shared" si="12"/>
        <v>14.388309356270712</v>
      </c>
      <c r="L18">
        <f t="shared" si="12"/>
        <v>17.930347380400846</v>
      </c>
      <c r="N18">
        <f t="shared" si="2"/>
        <v>4.5329841391162459E-2</v>
      </c>
      <c r="O18">
        <f t="shared" si="3"/>
        <v>1.8077799055844279E-2</v>
      </c>
      <c r="P18">
        <f t="shared" si="4"/>
        <v>1.8083990294825606E-2</v>
      </c>
      <c r="Q18">
        <f t="shared" si="5"/>
        <v>300</v>
      </c>
      <c r="R18">
        <f t="shared" si="6"/>
        <v>35.79418520790707</v>
      </c>
      <c r="S18">
        <f t="shared" si="7"/>
        <v>0.82191780821917804</v>
      </c>
      <c r="T18">
        <f t="shared" si="8"/>
        <v>0.90863447244764428</v>
      </c>
      <c r="U18">
        <f t="shared" si="9"/>
        <v>0.90659682782324913</v>
      </c>
    </row>
    <row r="19" spans="1:21" x14ac:dyDescent="0.35">
      <c r="A19" s="26">
        <v>0.2</v>
      </c>
      <c r="B19">
        <v>330</v>
      </c>
      <c r="C19" s="28">
        <f t="shared" si="10"/>
        <v>0.90410958904109584</v>
      </c>
      <c r="D19">
        <f t="shared" si="11"/>
        <v>4.7542338737200762E-2</v>
      </c>
      <c r="E19">
        <v>100</v>
      </c>
      <c r="F19">
        <v>100</v>
      </c>
      <c r="G19" t="str">
        <f t="shared" si="1"/>
        <v>Tdays=330</v>
      </c>
      <c r="H19">
        <f t="shared" si="12"/>
        <v>3.791901296539546</v>
      </c>
      <c r="I19">
        <f t="shared" si="12"/>
        <v>7.5752431466687087</v>
      </c>
      <c r="J19">
        <f t="shared" si="12"/>
        <v>11.341524023993932</v>
      </c>
      <c r="K19">
        <f t="shared" si="12"/>
        <v>15.082357589424911</v>
      </c>
      <c r="L19">
        <f t="shared" si="12"/>
        <v>18.78952866329162</v>
      </c>
      <c r="N19">
        <f t="shared" si="2"/>
        <v>4.7542338737200762E-2</v>
      </c>
      <c r="O19">
        <f t="shared" si="3"/>
        <v>1.895950648269773E-2</v>
      </c>
      <c r="P19">
        <f t="shared" si="4"/>
        <v>1.8966649031436245E-2</v>
      </c>
      <c r="Q19">
        <f t="shared" si="5"/>
        <v>330</v>
      </c>
      <c r="R19">
        <f t="shared" si="6"/>
        <v>37.502369176260345</v>
      </c>
      <c r="S19">
        <f t="shared" si="7"/>
        <v>0.90410958904109584</v>
      </c>
      <c r="T19">
        <f t="shared" si="8"/>
        <v>0.95199667862478987</v>
      </c>
      <c r="U19">
        <f t="shared" si="9"/>
        <v>0.95084677474401513</v>
      </c>
    </row>
    <row r="20" spans="1:21" x14ac:dyDescent="0.35">
      <c r="A20" s="26">
        <v>0.2</v>
      </c>
      <c r="B20">
        <v>360</v>
      </c>
      <c r="C20" s="28">
        <f t="shared" si="10"/>
        <v>0.98630136986301364</v>
      </c>
      <c r="D20">
        <f t="shared" si="11"/>
        <v>4.9656353316142078E-2</v>
      </c>
      <c r="E20">
        <v>100</v>
      </c>
      <c r="F20">
        <v>100</v>
      </c>
      <c r="G20" t="str">
        <f t="shared" si="1"/>
        <v>Tdays=360</v>
      </c>
      <c r="H20">
        <f t="shared" si="12"/>
        <v>3.9603761469884535</v>
      </c>
      <c r="I20">
        <f t="shared" si="12"/>
        <v>7.9110010139296971</v>
      </c>
      <c r="J20">
        <f t="shared" si="12"/>
        <v>11.842195290773038</v>
      </c>
      <c r="K20">
        <f t="shared" si="12"/>
        <v>15.74442272288783</v>
      </c>
      <c r="L20">
        <f t="shared" si="12"/>
        <v>19.608359442549684</v>
      </c>
      <c r="N20">
        <f t="shared" si="2"/>
        <v>4.9656353316142078E-2</v>
      </c>
      <c r="O20">
        <f t="shared" si="3"/>
        <v>1.9801880734942268E-2</v>
      </c>
      <c r="P20">
        <f t="shared" si="4"/>
        <v>1.9810018828360965E-2</v>
      </c>
      <c r="Q20">
        <f t="shared" si="5"/>
        <v>360</v>
      </c>
      <c r="R20">
        <f t="shared" si="6"/>
        <v>39.129388300080592</v>
      </c>
      <c r="S20">
        <f t="shared" si="7"/>
        <v>0.98630136986301364</v>
      </c>
      <c r="T20">
        <f t="shared" si="8"/>
        <v>0.99329851730746122</v>
      </c>
      <c r="U20">
        <f t="shared" si="9"/>
        <v>0.99312706632284153</v>
      </c>
    </row>
    <row r="21" spans="1:21" x14ac:dyDescent="0.35">
      <c r="A21" s="26">
        <v>0.2</v>
      </c>
      <c r="B21">
        <v>365</v>
      </c>
      <c r="C21" s="28">
        <f t="shared" si="10"/>
        <v>1</v>
      </c>
      <c r="D21">
        <f t="shared" si="11"/>
        <v>0.05</v>
      </c>
      <c r="E21">
        <v>100</v>
      </c>
      <c r="F21">
        <v>100</v>
      </c>
      <c r="G21" t="str">
        <f t="shared" si="1"/>
        <v>Tdays=365</v>
      </c>
      <c r="H21">
        <f t="shared" si="12"/>
        <v>3.9877611676744973</v>
      </c>
      <c r="I21">
        <f t="shared" si="12"/>
        <v>7.9655674554057976</v>
      </c>
      <c r="J21">
        <f t="shared" si="12"/>
        <v>11.923538474048501</v>
      </c>
      <c r="K21">
        <f t="shared" si="12"/>
        <v>15.851941887820598</v>
      </c>
      <c r="L21">
        <f t="shared" si="12"/>
        <v>19.74126513658474</v>
      </c>
      <c r="N21">
        <f t="shared" si="2"/>
        <v>0.05</v>
      </c>
      <c r="O21">
        <f t="shared" si="3"/>
        <v>1.9938805838372486E-2</v>
      </c>
      <c r="P21">
        <f t="shared" si="4"/>
        <v>1.9947114020071637E-2</v>
      </c>
      <c r="Q21">
        <f t="shared" si="5"/>
        <v>365</v>
      </c>
      <c r="R21">
        <f t="shared" si="6"/>
        <v>39.393382370235287</v>
      </c>
      <c r="S21">
        <f t="shared" si="7"/>
        <v>1</v>
      </c>
      <c r="T21">
        <f t="shared" si="8"/>
        <v>1</v>
      </c>
      <c r="U21">
        <f t="shared" si="9"/>
        <v>1</v>
      </c>
    </row>
    <row r="22" spans="1:21" x14ac:dyDescent="0.35">
      <c r="A22" s="26"/>
    </row>
    <row r="23" spans="1:21" x14ac:dyDescent="0.35">
      <c r="A23" s="26"/>
      <c r="C23" t="s">
        <v>199</v>
      </c>
      <c r="D23" t="s">
        <v>204</v>
      </c>
      <c r="E23" t="s">
        <v>205</v>
      </c>
    </row>
    <row r="24" spans="1:21" x14ac:dyDescent="0.35">
      <c r="C24" s="27">
        <f>-3</f>
        <v>-3</v>
      </c>
      <c r="D24">
        <f>NORMDIST($C24,0,1,TRUE)</f>
        <v>1.3498980316300933E-3</v>
      </c>
      <c r="E24">
        <f>NORMDIST(-$C24,0,1,TRUE)</f>
        <v>0.9986501019683699</v>
      </c>
      <c r="F24">
        <f>D24+E24</f>
        <v>1</v>
      </c>
    </row>
    <row r="25" spans="1:21" x14ac:dyDescent="0.35">
      <c r="C25" s="27"/>
    </row>
    <row r="26" spans="1:21" x14ac:dyDescent="0.35">
      <c r="C26" s="27"/>
      <c r="D26" t="s">
        <v>220</v>
      </c>
    </row>
    <row r="27" spans="1:21" x14ac:dyDescent="0.35">
      <c r="C27" s="27"/>
      <c r="D27" t="s">
        <v>221</v>
      </c>
      <c r="E27" s="5">
        <f>1/SQRT(E28)</f>
        <v>19.104973174542803</v>
      </c>
      <c r="F27" s="5">
        <f t="shared" ref="F27:P27" si="13">1/SQRT(F28)</f>
        <v>7.2210011177714923</v>
      </c>
      <c r="G27" s="5">
        <f t="shared" si="13"/>
        <v>5.1060188573318621</v>
      </c>
      <c r="H27" s="5">
        <f t="shared" si="13"/>
        <v>4.1690469391639597</v>
      </c>
      <c r="I27" s="5">
        <f t="shared" si="13"/>
        <v>3.6105005588857462</v>
      </c>
      <c r="J27" s="5">
        <f t="shared" si="13"/>
        <v>3.2293298729878046</v>
      </c>
      <c r="K27" s="5">
        <f t="shared" si="13"/>
        <v>2.9479613617678559</v>
      </c>
      <c r="L27" s="5">
        <f t="shared" si="13"/>
        <v>2.0138409955990952</v>
      </c>
      <c r="M27" s="5">
        <f t="shared" si="13"/>
        <v>1.4240006242195884</v>
      </c>
      <c r="N27" s="5">
        <f t="shared" si="13"/>
        <v>1.1626916409142416</v>
      </c>
      <c r="O27" s="5">
        <f t="shared" si="13"/>
        <v>1.0069204977995476</v>
      </c>
      <c r="P27" s="5">
        <f t="shared" si="13"/>
        <v>1</v>
      </c>
    </row>
    <row r="28" spans="1:21" x14ac:dyDescent="0.35">
      <c r="C28" s="27"/>
      <c r="D28" s="2" t="s">
        <v>43</v>
      </c>
      <c r="E28" s="8">
        <f>E29/365</f>
        <v>2.7397260273972603E-3</v>
      </c>
      <c r="F28" s="8">
        <f t="shared" ref="F28:P28" si="14">F29/365</f>
        <v>1.9178082191780823E-2</v>
      </c>
      <c r="G28" s="8">
        <f t="shared" si="14"/>
        <v>3.8356164383561646E-2</v>
      </c>
      <c r="H28" s="8">
        <f t="shared" si="14"/>
        <v>5.7534246575342465E-2</v>
      </c>
      <c r="I28" s="8">
        <f t="shared" si="14"/>
        <v>7.6712328767123292E-2</v>
      </c>
      <c r="J28" s="8">
        <f t="shared" si="14"/>
        <v>9.5890410958904104E-2</v>
      </c>
      <c r="K28" s="8">
        <f t="shared" si="14"/>
        <v>0.11506849315068493</v>
      </c>
      <c r="L28" s="8">
        <f t="shared" si="14"/>
        <v>0.24657534246575341</v>
      </c>
      <c r="M28" s="8">
        <f t="shared" si="14"/>
        <v>0.49315068493150682</v>
      </c>
      <c r="N28" s="8">
        <f t="shared" si="14"/>
        <v>0.73972602739726023</v>
      </c>
      <c r="O28" s="8">
        <f t="shared" si="14"/>
        <v>0.98630136986301364</v>
      </c>
      <c r="P28" s="8">
        <f t="shared" si="14"/>
        <v>1</v>
      </c>
    </row>
    <row r="29" spans="1:21" x14ac:dyDescent="0.35">
      <c r="C29" s="28" t="s">
        <v>222</v>
      </c>
      <c r="D29" s="2" t="s">
        <v>211</v>
      </c>
      <c r="E29" s="78">
        <v>1</v>
      </c>
      <c r="F29" s="78">
        <v>7</v>
      </c>
      <c r="G29" s="78">
        <v>14</v>
      </c>
      <c r="H29" s="78">
        <v>21</v>
      </c>
      <c r="I29" s="78">
        <v>28</v>
      </c>
      <c r="J29" s="78">
        <v>35</v>
      </c>
      <c r="K29" s="78">
        <v>42</v>
      </c>
      <c r="L29" s="2">
        <v>90</v>
      </c>
      <c r="M29" s="2">
        <v>180</v>
      </c>
      <c r="N29" s="2">
        <v>270</v>
      </c>
      <c r="O29" s="78">
        <v>360</v>
      </c>
      <c r="P29" s="2">
        <v>365</v>
      </c>
    </row>
    <row r="30" spans="1:21" x14ac:dyDescent="0.35">
      <c r="C30" s="27">
        <f>1/D30</f>
        <v>10</v>
      </c>
      <c r="D30" s="26">
        <v>0.1</v>
      </c>
      <c r="E30" s="5" t="e">
        <v>#NUM!</v>
      </c>
      <c r="F30" s="5">
        <v>170.01575609032147</v>
      </c>
      <c r="G30" s="5">
        <v>101.15797494182632</v>
      </c>
      <c r="H30" s="5">
        <v>75.986359565458031</v>
      </c>
      <c r="I30" s="5">
        <v>62.475293410916315</v>
      </c>
      <c r="J30" s="5">
        <v>53.87765196748623</v>
      </c>
      <c r="K30" s="5">
        <v>47.848327380695252</v>
      </c>
      <c r="L30" s="5">
        <v>29.700904051736114</v>
      </c>
      <c r="M30" s="5">
        <v>19.659409378101838</v>
      </c>
      <c r="N30" s="5">
        <v>15.54541828217301</v>
      </c>
      <c r="O30" s="5">
        <v>13.188377359230394</v>
      </c>
      <c r="P30" s="5">
        <v>13.085303410030292</v>
      </c>
    </row>
    <row r="31" spans="1:21" x14ac:dyDescent="0.35">
      <c r="C31" s="27">
        <f t="shared" ref="C31:C39" si="15">1/D31</f>
        <v>6.666666666666667</v>
      </c>
      <c r="D31" s="26">
        <v>0.15</v>
      </c>
      <c r="E31" s="5">
        <v>395.27933649580694</v>
      </c>
      <c r="F31" s="5">
        <v>92.970556718181911</v>
      </c>
      <c r="G31" s="5">
        <v>57.755878553166625</v>
      </c>
      <c r="H31" s="5">
        <v>44.362542336557745</v>
      </c>
      <c r="I31" s="5">
        <v>36.995179304057665</v>
      </c>
      <c r="J31" s="5">
        <v>32.224598080802011</v>
      </c>
      <c r="K31" s="5">
        <v>28.834286048473508</v>
      </c>
      <c r="L31" s="5">
        <v>18.355585954171289</v>
      </c>
      <c r="M31" s="5">
        <v>12.334936439332743</v>
      </c>
      <c r="N31" s="5">
        <v>9.8123656486652635</v>
      </c>
      <c r="O31" s="5">
        <v>8.3517325530270128</v>
      </c>
      <c r="P31" s="5">
        <v>8.2876120669889914</v>
      </c>
    </row>
    <row r="32" spans="1:21" x14ac:dyDescent="0.35">
      <c r="C32" s="27">
        <f t="shared" si="15"/>
        <v>5</v>
      </c>
      <c r="D32" s="26">
        <v>0.2</v>
      </c>
      <c r="E32" s="5">
        <v>247.01941365478302</v>
      </c>
      <c r="F32" s="5">
        <v>62.475293410916315</v>
      </c>
      <c r="G32" s="5">
        <v>39.830130925057212</v>
      </c>
      <c r="H32" s="5">
        <v>30.976201947532516</v>
      </c>
      <c r="I32" s="5">
        <v>26.028135068998701</v>
      </c>
      <c r="J32" s="5">
        <v>22.789427844915842</v>
      </c>
      <c r="K32" s="5">
        <v>20.469353661069043</v>
      </c>
      <c r="L32" s="5">
        <v>13.188377359230394</v>
      </c>
      <c r="M32" s="5">
        <v>8.9205340361275915</v>
      </c>
      <c r="N32" s="5">
        <v>7.1141911987854822</v>
      </c>
      <c r="O32" s="5">
        <v>6.0648977296020874</v>
      </c>
      <c r="P32" s="5">
        <v>6.0188097555579843</v>
      </c>
    </row>
    <row r="33" spans="3:16" x14ac:dyDescent="0.35">
      <c r="C33" s="27">
        <f t="shared" si="15"/>
        <v>4</v>
      </c>
      <c r="D33" s="26">
        <v>0.25</v>
      </c>
      <c r="E33" s="5">
        <v>174.06250087724078</v>
      </c>
      <c r="F33" s="5">
        <v>46.606092693520381</v>
      </c>
      <c r="G33" s="5">
        <v>30.214433566691724</v>
      </c>
      <c r="H33" s="5">
        <v>23.678191917633491</v>
      </c>
      <c r="I33" s="5">
        <v>19.985852692519167</v>
      </c>
      <c r="J33" s="5">
        <v>17.551803681288693</v>
      </c>
      <c r="K33" s="5">
        <v>15.799132745346011</v>
      </c>
      <c r="L33" s="5">
        <v>10.246238173757176</v>
      </c>
      <c r="M33" s="5">
        <v>6.9545545191452138</v>
      </c>
      <c r="N33" s="5">
        <v>5.556415181669756</v>
      </c>
      <c r="O33" s="5">
        <v>4.7453892302396632</v>
      </c>
      <c r="P33" s="5">
        <v>4.7098311860347479</v>
      </c>
    </row>
    <row r="34" spans="3:16" x14ac:dyDescent="0.35">
      <c r="C34" s="27">
        <f t="shared" si="15"/>
        <v>3.3333333333333335</v>
      </c>
      <c r="D34" s="26">
        <v>0.3</v>
      </c>
      <c r="E34" s="5">
        <v>132.35541372115256</v>
      </c>
      <c r="F34" s="5">
        <v>36.995179304057665</v>
      </c>
      <c r="G34" s="5">
        <v>24.259907010970945</v>
      </c>
      <c r="H34" s="5">
        <v>19.107582852050712</v>
      </c>
      <c r="I34" s="5">
        <v>16.174640945817352</v>
      </c>
      <c r="J34" s="5">
        <v>14.231602034120304</v>
      </c>
      <c r="K34" s="5">
        <v>12.82756274983754</v>
      </c>
      <c r="L34" s="5">
        <v>8.3517325530270128</v>
      </c>
      <c r="M34" s="5">
        <v>5.6828784981059526</v>
      </c>
      <c r="N34" s="5">
        <v>4.5506497262478707</v>
      </c>
      <c r="O34" s="5">
        <v>3.8974902376615912</v>
      </c>
      <c r="P34" s="5">
        <v>3.8689723683347372</v>
      </c>
    </row>
    <row r="35" spans="3:16" x14ac:dyDescent="0.35">
      <c r="C35" s="27">
        <f t="shared" si="15"/>
        <v>2.8571428571428572</v>
      </c>
      <c r="D35" s="26">
        <v>0.35</v>
      </c>
      <c r="E35" s="5">
        <v>105.8688109518958</v>
      </c>
      <c r="F35" s="5">
        <v>30.588791699017989</v>
      </c>
      <c r="G35" s="5">
        <v>20.22357145171847</v>
      </c>
      <c r="H35" s="5">
        <v>15.983796193288434</v>
      </c>
      <c r="I35" s="5">
        <v>13.556665965084541</v>
      </c>
      <c r="J35" s="5">
        <v>11.942993487882326</v>
      </c>
      <c r="K35" s="5">
        <v>10.774086121807912</v>
      </c>
      <c r="L35" s="5">
        <v>7.0330914913576104</v>
      </c>
      <c r="M35" s="5">
        <v>4.797995391731452</v>
      </c>
      <c r="N35" s="5">
        <v>3.8549501440640448</v>
      </c>
      <c r="O35" s="5">
        <v>3.3163051154507555</v>
      </c>
      <c r="P35" s="5">
        <v>3.2929488409288652</v>
      </c>
    </row>
    <row r="36" spans="3:16" x14ac:dyDescent="0.35">
      <c r="C36" s="27">
        <f t="shared" si="15"/>
        <v>2.5</v>
      </c>
      <c r="D36" s="26">
        <v>0.4</v>
      </c>
      <c r="E36" s="5">
        <v>87.766026867861356</v>
      </c>
      <c r="F36" s="5">
        <v>26.028135068998701</v>
      </c>
      <c r="G36" s="5">
        <v>17.312492885181271</v>
      </c>
      <c r="H36" s="5">
        <v>13.716928342686813</v>
      </c>
      <c r="I36" s="5">
        <v>11.649824733727762</v>
      </c>
      <c r="J36" s="5">
        <v>10.271950750406152</v>
      </c>
      <c r="K36" s="5">
        <v>9.2721363954694631</v>
      </c>
      <c r="L36" s="5">
        <v>6.0648977296020874</v>
      </c>
      <c r="M36" s="5">
        <v>4.1511767102092518</v>
      </c>
      <c r="N36" s="5">
        <v>3.3516277949642261</v>
      </c>
      <c r="O36" s="5">
        <v>2.9018133713915235</v>
      </c>
      <c r="P36" s="5">
        <v>2.8825106925939994</v>
      </c>
    </row>
    <row r="37" spans="3:16" x14ac:dyDescent="0.35">
      <c r="C37" s="27">
        <f t="shared" si="15"/>
        <v>2.2222222222222223</v>
      </c>
      <c r="D37" s="26">
        <v>0.45</v>
      </c>
      <c r="E37" s="5">
        <v>74.706531011881069</v>
      </c>
      <c r="F37" s="5">
        <v>22.622577330012231</v>
      </c>
      <c r="G37" s="5">
        <v>15.116193869494435</v>
      </c>
      <c r="H37" s="5">
        <v>11.998556944937571</v>
      </c>
      <c r="I37" s="5">
        <v>10.200408595068872</v>
      </c>
      <c r="J37" s="5">
        <v>8.9995596910072138</v>
      </c>
      <c r="K37" s="5">
        <v>8.1271894158066544</v>
      </c>
      <c r="L37" s="5">
        <v>5.32596895792505</v>
      </c>
      <c r="M37" s="5">
        <v>3.6617477445817963</v>
      </c>
      <c r="N37" s="5">
        <v>2.9765754217699172</v>
      </c>
      <c r="O37" s="5">
        <v>2.5993878010555691</v>
      </c>
      <c r="P37" s="5">
        <v>2.5834450100383459</v>
      </c>
    </row>
    <row r="38" spans="3:16" x14ac:dyDescent="0.35">
      <c r="C38" s="27">
        <f t="shared" si="15"/>
        <v>2</v>
      </c>
      <c r="D38" s="26">
        <v>0.5</v>
      </c>
      <c r="E38" s="5">
        <v>64.888428354706988</v>
      </c>
      <c r="F38" s="5">
        <v>19.985852692519167</v>
      </c>
      <c r="G38" s="5">
        <v>13.401554255078635</v>
      </c>
      <c r="H38" s="5">
        <v>10.652104626458708</v>
      </c>
      <c r="I38" s="5">
        <v>9.062405814594662</v>
      </c>
      <c r="J38" s="5">
        <v>7.9993611661427231</v>
      </c>
      <c r="K38" s="5">
        <v>7.2265536995740227</v>
      </c>
      <c r="L38" s="5">
        <v>4.7453892302396632</v>
      </c>
      <c r="M38" s="5">
        <v>3.2821699181451374</v>
      </c>
      <c r="N38" s="5">
        <v>2.6918927698106545</v>
      </c>
      <c r="O38" s="5">
        <v>2.3766640777604402</v>
      </c>
      <c r="P38" s="5">
        <v>2.3636297063839509</v>
      </c>
    </row>
    <row r="39" spans="3:16" x14ac:dyDescent="0.35">
      <c r="C39" s="27">
        <f t="shared" si="15"/>
        <v>1.6666666666666667</v>
      </c>
      <c r="D39" s="26">
        <v>0.6</v>
      </c>
      <c r="E39" s="5">
        <v>51.185680283477645</v>
      </c>
      <c r="F39" s="5">
        <v>16.174640945817352</v>
      </c>
      <c r="G39" s="5">
        <v>10.900081341662844</v>
      </c>
      <c r="H39" s="5">
        <v>8.6802179109215309</v>
      </c>
      <c r="I39" s="5">
        <v>7.3926308491242931</v>
      </c>
      <c r="J39" s="5">
        <v>6.530464976990797</v>
      </c>
      <c r="K39" s="5">
        <v>5.9035017074580143</v>
      </c>
      <c r="L39" s="5">
        <v>3.8974902376615912</v>
      </c>
      <c r="M39" s="5">
        <v>2.7434220425862064</v>
      </c>
      <c r="N39" s="5">
        <v>2.3063485612878516</v>
      </c>
      <c r="O39" s="5">
        <v>2.0956231010880892</v>
      </c>
      <c r="P39" s="5">
        <v>2.0876023835317215</v>
      </c>
    </row>
    <row r="40" spans="3:16" x14ac:dyDescent="0.35">
      <c r="E40" s="5"/>
      <c r="F40" s="5"/>
      <c r="G40" s="5"/>
      <c r="H40" s="5"/>
      <c r="I40" s="5"/>
      <c r="J40" s="5"/>
      <c r="K40" s="5"/>
      <c r="L40" s="5"/>
      <c r="M40" s="5"/>
      <c r="N40" s="5"/>
      <c r="O40" s="5"/>
      <c r="P40" s="5"/>
    </row>
    <row r="41" spans="3:16" x14ac:dyDescent="0.35">
      <c r="E41" s="5"/>
      <c r="F41" s="5"/>
      <c r="G41" s="5"/>
      <c r="H41" s="5"/>
      <c r="I41" s="5"/>
      <c r="J41" s="5"/>
      <c r="K41" s="5"/>
      <c r="L41" s="5"/>
      <c r="M41" s="5"/>
      <c r="N41" s="5"/>
      <c r="O41" s="5"/>
      <c r="P41" s="5"/>
    </row>
    <row r="42" spans="3:16" x14ac:dyDescent="0.35">
      <c r="D42" t="s">
        <v>223</v>
      </c>
      <c r="E42" s="5"/>
      <c r="F42" s="5"/>
      <c r="G42" s="5"/>
      <c r="H42" s="5"/>
      <c r="I42" s="5"/>
      <c r="J42" s="5"/>
      <c r="K42" s="5"/>
      <c r="L42" s="5"/>
      <c r="M42" s="5"/>
      <c r="N42" s="5"/>
      <c r="O42" s="5"/>
      <c r="P42" s="5"/>
    </row>
    <row r="43" spans="3:16" x14ac:dyDescent="0.35">
      <c r="D43" s="2" t="s">
        <v>211</v>
      </c>
      <c r="E43" s="8">
        <v>2.7397260273972603E-3</v>
      </c>
      <c r="F43" s="8">
        <v>1.9178082191780823E-2</v>
      </c>
      <c r="G43" s="8">
        <v>3.8356164383561646E-2</v>
      </c>
      <c r="H43" s="8">
        <v>5.7534246575342465E-2</v>
      </c>
      <c r="I43" s="8">
        <v>7.6712328767123292E-2</v>
      </c>
      <c r="J43" s="8">
        <v>9.5890410958904104E-2</v>
      </c>
      <c r="K43" s="8">
        <v>0.11506849315068493</v>
      </c>
      <c r="L43" s="8">
        <v>0.24657534246575341</v>
      </c>
      <c r="M43" s="8">
        <v>0.49315068493150682</v>
      </c>
      <c r="N43" s="8">
        <v>0.73972602739726023</v>
      </c>
      <c r="O43" s="8">
        <v>0.98630136986301364</v>
      </c>
      <c r="P43" s="8">
        <v>1</v>
      </c>
    </row>
    <row r="44" spans="3:16" x14ac:dyDescent="0.35">
      <c r="D44" s="26">
        <v>0.1</v>
      </c>
      <c r="E44" s="5">
        <f>1/($D44*SQRT(E$43))</f>
        <v>191.04973174542801</v>
      </c>
      <c r="F44" s="5">
        <f t="shared" ref="F44:P44" si="16">1/($D44*SQRT(F$43))</f>
        <v>72.210011177714932</v>
      </c>
      <c r="G44" s="5">
        <f t="shared" si="16"/>
        <v>51.060188573318612</v>
      </c>
      <c r="H44" s="5">
        <f t="shared" si="16"/>
        <v>41.690469391639596</v>
      </c>
      <c r="I44" s="5">
        <f t="shared" si="16"/>
        <v>36.105005588857466</v>
      </c>
      <c r="J44" s="5">
        <f t="shared" si="16"/>
        <v>32.293298729878046</v>
      </c>
      <c r="K44" s="5">
        <f t="shared" si="16"/>
        <v>29.479613617678559</v>
      </c>
      <c r="L44" s="5">
        <f t="shared" si="16"/>
        <v>20.138409955990952</v>
      </c>
      <c r="M44" s="5">
        <f t="shared" si="16"/>
        <v>14.240006242195882</v>
      </c>
      <c r="N44" s="5">
        <f t="shared" si="16"/>
        <v>11.626916409142416</v>
      </c>
      <c r="O44" s="5">
        <f t="shared" si="16"/>
        <v>10.069204977995476</v>
      </c>
      <c r="P44" s="5">
        <f t="shared" si="16"/>
        <v>10</v>
      </c>
    </row>
    <row r="45" spans="3:16" x14ac:dyDescent="0.35">
      <c r="D45" s="26">
        <v>0.15</v>
      </c>
      <c r="E45" s="5">
        <f t="shared" ref="E45:P53" si="17">1/($D45*SQRT(E$43))</f>
        <v>127.36648783028535</v>
      </c>
      <c r="F45" s="5">
        <f t="shared" si="17"/>
        <v>48.140007451809957</v>
      </c>
      <c r="G45" s="5">
        <f t="shared" si="17"/>
        <v>34.040125715545749</v>
      </c>
      <c r="H45" s="5">
        <f t="shared" si="17"/>
        <v>27.793646261093066</v>
      </c>
      <c r="I45" s="5">
        <f t="shared" si="17"/>
        <v>24.070003725904979</v>
      </c>
      <c r="J45" s="5">
        <f t="shared" si="17"/>
        <v>21.528865819918696</v>
      </c>
      <c r="K45" s="5">
        <f t="shared" si="17"/>
        <v>19.653075745119036</v>
      </c>
      <c r="L45" s="5">
        <f t="shared" si="17"/>
        <v>13.425606637327304</v>
      </c>
      <c r="M45" s="5">
        <f t="shared" si="17"/>
        <v>9.4933374947972577</v>
      </c>
      <c r="N45" s="5">
        <f t="shared" si="17"/>
        <v>7.751277606094944</v>
      </c>
      <c r="O45" s="5">
        <f t="shared" si="17"/>
        <v>6.712803318663652</v>
      </c>
      <c r="P45" s="5">
        <f t="shared" si="17"/>
        <v>6.666666666666667</v>
      </c>
    </row>
    <row r="46" spans="3:16" x14ac:dyDescent="0.35">
      <c r="D46" s="26">
        <v>0.2</v>
      </c>
      <c r="E46" s="5">
        <f t="shared" si="17"/>
        <v>95.524865872714003</v>
      </c>
      <c r="F46" s="5">
        <f t="shared" si="17"/>
        <v>36.105005588857466</v>
      </c>
      <c r="G46" s="5">
        <f t="shared" si="17"/>
        <v>25.530094286659306</v>
      </c>
      <c r="H46" s="5">
        <f t="shared" si="17"/>
        <v>20.845234695819798</v>
      </c>
      <c r="I46" s="5">
        <f t="shared" si="17"/>
        <v>18.052502794428733</v>
      </c>
      <c r="J46" s="5">
        <f t="shared" si="17"/>
        <v>16.146649364939023</v>
      </c>
      <c r="K46" s="5">
        <f t="shared" si="17"/>
        <v>14.73980680883928</v>
      </c>
      <c r="L46" s="5">
        <f t="shared" si="17"/>
        <v>10.069204977995476</v>
      </c>
      <c r="M46" s="5">
        <f t="shared" si="17"/>
        <v>7.1200031210979411</v>
      </c>
      <c r="N46" s="5">
        <f t="shared" si="17"/>
        <v>5.8134582045712078</v>
      </c>
      <c r="O46" s="5">
        <f t="shared" si="17"/>
        <v>5.0346024889977379</v>
      </c>
      <c r="P46" s="5">
        <f t="shared" si="17"/>
        <v>5</v>
      </c>
    </row>
    <row r="47" spans="3:16" x14ac:dyDescent="0.35">
      <c r="D47" s="26">
        <v>0.25</v>
      </c>
      <c r="E47" s="5">
        <f t="shared" si="17"/>
        <v>76.419892698171211</v>
      </c>
      <c r="F47" s="5">
        <f t="shared" si="17"/>
        <v>28.884004471085969</v>
      </c>
      <c r="G47" s="5">
        <f t="shared" si="17"/>
        <v>20.424075429327448</v>
      </c>
      <c r="H47" s="5">
        <f t="shared" si="17"/>
        <v>16.676187756655839</v>
      </c>
      <c r="I47" s="5">
        <f t="shared" si="17"/>
        <v>14.442002235542985</v>
      </c>
      <c r="J47" s="5">
        <f t="shared" si="17"/>
        <v>12.917319491951218</v>
      </c>
      <c r="K47" s="5">
        <f t="shared" si="17"/>
        <v>11.791845447071424</v>
      </c>
      <c r="L47" s="5">
        <f t="shared" si="17"/>
        <v>8.055363982396381</v>
      </c>
      <c r="M47" s="5">
        <f t="shared" si="17"/>
        <v>5.6960024968783536</v>
      </c>
      <c r="N47" s="5">
        <f t="shared" si="17"/>
        <v>4.6507665636569664</v>
      </c>
      <c r="O47" s="5">
        <f t="shared" si="17"/>
        <v>4.0276819911981905</v>
      </c>
      <c r="P47" s="5">
        <f t="shared" si="17"/>
        <v>4</v>
      </c>
    </row>
    <row r="48" spans="3:16" x14ac:dyDescent="0.35">
      <c r="D48" s="26">
        <v>0.3</v>
      </c>
      <c r="E48" s="5">
        <f t="shared" si="17"/>
        <v>63.683243915142675</v>
      </c>
      <c r="F48" s="5">
        <f t="shared" si="17"/>
        <v>24.070003725904979</v>
      </c>
      <c r="G48" s="5">
        <f t="shared" si="17"/>
        <v>17.020062857772874</v>
      </c>
      <c r="H48" s="5">
        <f t="shared" si="17"/>
        <v>13.896823130546533</v>
      </c>
      <c r="I48" s="5">
        <f t="shared" si="17"/>
        <v>12.035001862952489</v>
      </c>
      <c r="J48" s="5">
        <f t="shared" si="17"/>
        <v>10.764432909959348</v>
      </c>
      <c r="K48" s="5">
        <f t="shared" si="17"/>
        <v>9.826537872559518</v>
      </c>
      <c r="L48" s="5">
        <f t="shared" si="17"/>
        <v>6.712803318663652</v>
      </c>
      <c r="M48" s="5">
        <f t="shared" si="17"/>
        <v>4.7466687473986289</v>
      </c>
      <c r="N48" s="5">
        <f t="shared" si="17"/>
        <v>3.875638803047472</v>
      </c>
      <c r="O48" s="5">
        <f t="shared" si="17"/>
        <v>3.356401659331826</v>
      </c>
      <c r="P48" s="5">
        <f t="shared" si="17"/>
        <v>3.3333333333333335</v>
      </c>
    </row>
    <row r="49" spans="4:16" x14ac:dyDescent="0.35">
      <c r="D49" s="26">
        <v>0.35</v>
      </c>
      <c r="E49" s="5">
        <f t="shared" si="17"/>
        <v>54.585637641550861</v>
      </c>
      <c r="F49" s="5">
        <f t="shared" si="17"/>
        <v>20.631431765061407</v>
      </c>
      <c r="G49" s="5">
        <f t="shared" si="17"/>
        <v>14.588625306662463</v>
      </c>
      <c r="H49" s="5">
        <f t="shared" si="17"/>
        <v>11.911562683325599</v>
      </c>
      <c r="I49" s="5">
        <f t="shared" si="17"/>
        <v>10.315715882530704</v>
      </c>
      <c r="J49" s="5">
        <f t="shared" si="17"/>
        <v>9.2266567799651558</v>
      </c>
      <c r="K49" s="5">
        <f t="shared" si="17"/>
        <v>8.4227467479081604</v>
      </c>
      <c r="L49" s="5">
        <f t="shared" si="17"/>
        <v>5.7538314159974151</v>
      </c>
      <c r="M49" s="5">
        <f t="shared" si="17"/>
        <v>4.0685732120559672</v>
      </c>
      <c r="N49" s="5">
        <f t="shared" si="17"/>
        <v>3.3219761168978339</v>
      </c>
      <c r="O49" s="5">
        <f t="shared" si="17"/>
        <v>2.8769157079987075</v>
      </c>
      <c r="P49" s="5">
        <f t="shared" si="17"/>
        <v>2.8571428571428572</v>
      </c>
    </row>
    <row r="50" spans="4:16" x14ac:dyDescent="0.35">
      <c r="D50" s="26">
        <v>0.4</v>
      </c>
      <c r="E50" s="5">
        <f t="shared" si="17"/>
        <v>47.762432936357001</v>
      </c>
      <c r="F50" s="5">
        <f t="shared" si="17"/>
        <v>18.052502794428733</v>
      </c>
      <c r="G50" s="5">
        <f t="shared" si="17"/>
        <v>12.765047143329653</v>
      </c>
      <c r="H50" s="5">
        <f t="shared" si="17"/>
        <v>10.422617347909899</v>
      </c>
      <c r="I50" s="5">
        <f t="shared" si="17"/>
        <v>9.0262513972143665</v>
      </c>
      <c r="J50" s="5">
        <f t="shared" si="17"/>
        <v>8.0733246824695115</v>
      </c>
      <c r="K50" s="5">
        <f t="shared" si="17"/>
        <v>7.3699034044196399</v>
      </c>
      <c r="L50" s="5">
        <f t="shared" si="17"/>
        <v>5.0346024889977379</v>
      </c>
      <c r="M50" s="5">
        <f t="shared" si="17"/>
        <v>3.5600015605489705</v>
      </c>
      <c r="N50" s="5">
        <f t="shared" si="17"/>
        <v>2.9067291022856039</v>
      </c>
      <c r="O50" s="5">
        <f t="shared" si="17"/>
        <v>2.5173012444988689</v>
      </c>
      <c r="P50" s="5">
        <f t="shared" si="17"/>
        <v>2.5</v>
      </c>
    </row>
    <row r="51" spans="4:16" x14ac:dyDescent="0.35">
      <c r="D51" s="26">
        <v>0.45</v>
      </c>
      <c r="E51" s="5">
        <f t="shared" si="17"/>
        <v>42.455495943428446</v>
      </c>
      <c r="F51" s="5">
        <f t="shared" si="17"/>
        <v>16.046669150603318</v>
      </c>
      <c r="G51" s="5">
        <f t="shared" si="17"/>
        <v>11.346708571848581</v>
      </c>
      <c r="H51" s="5">
        <f t="shared" si="17"/>
        <v>9.2645487536976887</v>
      </c>
      <c r="I51" s="5">
        <f t="shared" si="17"/>
        <v>8.0233345753016589</v>
      </c>
      <c r="J51" s="5">
        <f t="shared" si="17"/>
        <v>7.1762886066395657</v>
      </c>
      <c r="K51" s="5">
        <f t="shared" si="17"/>
        <v>6.551025248373012</v>
      </c>
      <c r="L51" s="5">
        <f t="shared" si="17"/>
        <v>4.4752022124424338</v>
      </c>
      <c r="M51" s="5">
        <f t="shared" si="17"/>
        <v>3.1644458315990858</v>
      </c>
      <c r="N51" s="5">
        <f t="shared" si="17"/>
        <v>2.5837592020316484</v>
      </c>
      <c r="O51" s="5">
        <f t="shared" si="17"/>
        <v>2.2376011062212169</v>
      </c>
      <c r="P51" s="5">
        <f t="shared" si="17"/>
        <v>2.2222222222222223</v>
      </c>
    </row>
    <row r="52" spans="4:16" x14ac:dyDescent="0.35">
      <c r="D52" s="26">
        <v>0.5</v>
      </c>
      <c r="E52" s="5">
        <f t="shared" si="17"/>
        <v>38.209946349085605</v>
      </c>
      <c r="F52" s="5">
        <f t="shared" si="17"/>
        <v>14.442002235542985</v>
      </c>
      <c r="G52" s="5">
        <f t="shared" si="17"/>
        <v>10.212037714663724</v>
      </c>
      <c r="H52" s="5">
        <f t="shared" si="17"/>
        <v>8.3380938783279195</v>
      </c>
      <c r="I52" s="5">
        <f t="shared" si="17"/>
        <v>7.2210011177714923</v>
      </c>
      <c r="J52" s="5">
        <f t="shared" si="17"/>
        <v>6.4586597459756092</v>
      </c>
      <c r="K52" s="5">
        <f t="shared" si="17"/>
        <v>5.8959227235357119</v>
      </c>
      <c r="L52" s="5">
        <f t="shared" si="17"/>
        <v>4.0276819911981905</v>
      </c>
      <c r="M52" s="5">
        <f t="shared" si="17"/>
        <v>2.8480012484391768</v>
      </c>
      <c r="N52" s="5">
        <f t="shared" si="17"/>
        <v>2.3253832818284832</v>
      </c>
      <c r="O52" s="5">
        <f t="shared" si="17"/>
        <v>2.0138409955990952</v>
      </c>
      <c r="P52" s="5">
        <f t="shared" si="17"/>
        <v>2</v>
      </c>
    </row>
    <row r="53" spans="4:16" x14ac:dyDescent="0.35">
      <c r="D53" s="26">
        <v>0.6</v>
      </c>
      <c r="E53" s="5">
        <f t="shared" si="17"/>
        <v>31.841621957571338</v>
      </c>
      <c r="F53" s="5">
        <f t="shared" si="17"/>
        <v>12.035001862952489</v>
      </c>
      <c r="G53" s="5">
        <f t="shared" si="17"/>
        <v>8.5100314288864372</v>
      </c>
      <c r="H53" s="5">
        <f t="shared" si="17"/>
        <v>6.9484115652732665</v>
      </c>
      <c r="I53" s="5">
        <f t="shared" si="17"/>
        <v>6.0175009314762447</v>
      </c>
      <c r="J53" s="5">
        <f t="shared" si="17"/>
        <v>5.382216454979674</v>
      </c>
      <c r="K53" s="5">
        <f t="shared" si="17"/>
        <v>4.913268936279759</v>
      </c>
      <c r="L53" s="5">
        <f t="shared" si="17"/>
        <v>3.356401659331826</v>
      </c>
      <c r="M53" s="5">
        <f t="shared" si="17"/>
        <v>2.3733343736993144</v>
      </c>
      <c r="N53" s="5">
        <f t="shared" si="17"/>
        <v>1.937819401523736</v>
      </c>
      <c r="O53" s="5">
        <f t="shared" si="17"/>
        <v>1.678200829665913</v>
      </c>
      <c r="P53" s="5">
        <f t="shared" si="17"/>
        <v>1.6666666666666667</v>
      </c>
    </row>
    <row r="54" spans="4:16" x14ac:dyDescent="0.35">
      <c r="E54" s="27"/>
      <c r="F54" s="27"/>
      <c r="G54" s="27"/>
      <c r="H54" s="27"/>
      <c r="I54" s="27"/>
      <c r="J54" s="27"/>
      <c r="K54" s="27"/>
      <c r="L54" s="27"/>
      <c r="M54" s="27"/>
      <c r="N54" s="27"/>
      <c r="O54" s="27"/>
      <c r="P54" s="27"/>
    </row>
    <row r="55" spans="4:16" x14ac:dyDescent="0.35">
      <c r="E55" s="27"/>
      <c r="F55" s="27"/>
      <c r="G55" s="27"/>
      <c r="H55" s="27"/>
      <c r="I55" s="27"/>
      <c r="J55" s="27"/>
      <c r="K55" s="27"/>
      <c r="L55" s="27"/>
      <c r="M55" s="27"/>
      <c r="N55" s="27"/>
      <c r="O55" s="27"/>
      <c r="P55" s="27"/>
    </row>
    <row r="56" spans="4:16" x14ac:dyDescent="0.35">
      <c r="E56" s="27"/>
      <c r="F56" s="27"/>
      <c r="G56" s="27"/>
      <c r="H56" s="27"/>
      <c r="I56" s="27"/>
      <c r="J56" s="27"/>
      <c r="K56" s="27"/>
      <c r="L56" s="27"/>
      <c r="M56" s="27"/>
      <c r="N56" s="27"/>
      <c r="O56" s="27"/>
      <c r="P56" s="27"/>
    </row>
    <row r="57" spans="4:16" x14ac:dyDescent="0.35">
      <c r="E57" s="27"/>
      <c r="F57" s="27"/>
      <c r="G57" s="27"/>
      <c r="H57" s="27"/>
      <c r="I57" s="27"/>
      <c r="J57" s="27"/>
      <c r="K57" s="27"/>
      <c r="L57" s="27"/>
      <c r="M57" s="27"/>
      <c r="N57" s="27"/>
      <c r="O57" s="27"/>
      <c r="P57" s="27"/>
    </row>
    <row r="58" spans="4:16" x14ac:dyDescent="0.35">
      <c r="E58" s="27"/>
      <c r="F58" s="27"/>
      <c r="G58" s="27"/>
      <c r="H58" s="27"/>
      <c r="I58" s="27"/>
      <c r="J58" s="27"/>
      <c r="K58" s="27"/>
      <c r="L58" s="27"/>
      <c r="M58" s="27"/>
      <c r="N58" s="27"/>
      <c r="O58" s="27"/>
      <c r="P58" s="27"/>
    </row>
    <row r="59" spans="4:16" x14ac:dyDescent="0.35">
      <c r="E59" s="27"/>
      <c r="F59" s="27"/>
      <c r="G59" s="27"/>
      <c r="H59" s="27"/>
      <c r="I59" s="27"/>
      <c r="J59" s="27"/>
      <c r="K59" s="27"/>
      <c r="L59" s="27"/>
      <c r="M59" s="27"/>
      <c r="N59" s="27"/>
      <c r="O59" s="27"/>
      <c r="P59" s="27"/>
    </row>
    <row r="60" spans="4:16" x14ac:dyDescent="0.35">
      <c r="E60" s="27"/>
      <c r="F60" s="27"/>
      <c r="G60" s="27"/>
      <c r="H60" s="27"/>
      <c r="I60" s="27"/>
      <c r="J60" s="27"/>
      <c r="K60" s="27"/>
      <c r="L60" s="27"/>
      <c r="M60" s="27"/>
      <c r="N60" s="27"/>
      <c r="O60" s="27"/>
      <c r="P60" s="27"/>
    </row>
    <row r="61" spans="4:16" x14ac:dyDescent="0.35">
      <c r="E61" s="27"/>
      <c r="F61" s="27"/>
      <c r="G61" s="27"/>
      <c r="H61" s="27"/>
      <c r="I61" s="27"/>
      <c r="J61" s="27"/>
      <c r="K61" s="27"/>
      <c r="L61" s="27"/>
      <c r="M61" s="27"/>
      <c r="N61" s="27"/>
      <c r="O61" s="27"/>
      <c r="P61" s="27"/>
    </row>
    <row r="62" spans="4:16" x14ac:dyDescent="0.35">
      <c r="E62" s="27"/>
      <c r="F62" s="27"/>
      <c r="G62" s="27"/>
      <c r="H62" s="27"/>
      <c r="I62" s="27"/>
      <c r="J62" s="27"/>
      <c r="K62" s="27"/>
      <c r="L62" s="27"/>
      <c r="M62" s="27"/>
      <c r="N62" s="27"/>
      <c r="O62" s="27"/>
      <c r="P62" s="27"/>
    </row>
    <row r="63" spans="4:16" x14ac:dyDescent="0.35">
      <c r="E63" s="27"/>
      <c r="F63" s="27"/>
      <c r="G63" s="27"/>
      <c r="H63" s="27"/>
      <c r="I63" s="27"/>
      <c r="J63" s="27"/>
      <c r="K63" s="27"/>
      <c r="L63" s="27"/>
      <c r="M63" s="27"/>
      <c r="N63" s="27"/>
      <c r="O63" s="27"/>
      <c r="P63" s="27"/>
    </row>
  </sheetData>
  <autoFilter ref="A3:H23" xr:uid="{00000000-0009-0000-0000-00000F000000}"/>
  <pageMargins left="0.7" right="0.7" top="0.75" bottom="0.75" header="0.3" footer="0.3"/>
  <pageSetup orientation="portrait" horizontalDpi="1200" verticalDpi="120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6"/>
  <dimension ref="A4:G19"/>
  <sheetViews>
    <sheetView topLeftCell="A4" workbookViewId="0">
      <selection activeCell="E19" sqref="E19"/>
    </sheetView>
  </sheetViews>
  <sheetFormatPr defaultRowHeight="14.5" x14ac:dyDescent="0.35"/>
  <cols>
    <col min="1" max="1" width="14.1796875" style="26" customWidth="1"/>
    <col min="2" max="2" width="20.453125" bestFit="1" customWidth="1"/>
    <col min="4" max="4" width="18.1796875" bestFit="1" customWidth="1"/>
    <col min="5" max="5" width="30.54296875" style="2" bestFit="1" customWidth="1"/>
    <col min="6" max="6" width="22.54296875" customWidth="1"/>
  </cols>
  <sheetData>
    <row r="4" spans="1:7" x14ac:dyDescent="0.35">
      <c r="B4" s="26"/>
    </row>
    <row r="5" spans="1:7" x14ac:dyDescent="0.35">
      <c r="B5" s="26"/>
    </row>
    <row r="6" spans="1:7" x14ac:dyDescent="0.35">
      <c r="B6" s="26"/>
    </row>
    <row r="7" spans="1:7" x14ac:dyDescent="0.35">
      <c r="B7" s="26"/>
    </row>
    <row r="8" spans="1:7" x14ac:dyDescent="0.35">
      <c r="B8" s="26"/>
    </row>
    <row r="9" spans="1:7" x14ac:dyDescent="0.35">
      <c r="B9" s="26"/>
    </row>
    <row r="10" spans="1:7" x14ac:dyDescent="0.35">
      <c r="B10" s="28"/>
    </row>
    <row r="12" spans="1:7" x14ac:dyDescent="0.35">
      <c r="A12" s="41" t="s">
        <v>120</v>
      </c>
      <c r="B12" s="38" t="s">
        <v>130</v>
      </c>
      <c r="C12" s="38" t="s">
        <v>131</v>
      </c>
      <c r="D12" s="38" t="s">
        <v>132</v>
      </c>
      <c r="E12" s="38" t="s">
        <v>133</v>
      </c>
      <c r="F12" t="str">
        <f>B12</f>
        <v>Married Filling Jointly</v>
      </c>
      <c r="G12" s="2">
        <v>2</v>
      </c>
    </row>
    <row r="13" spans="1:7" x14ac:dyDescent="0.35">
      <c r="A13" s="41">
        <v>0.1</v>
      </c>
      <c r="B13" s="56">
        <f>C13*2</f>
        <v>18150</v>
      </c>
      <c r="C13" s="56">
        <v>9075</v>
      </c>
      <c r="D13" s="56">
        <v>12950</v>
      </c>
      <c r="E13" s="41">
        <v>0</v>
      </c>
      <c r="F13" t="str">
        <f>C12</f>
        <v>Single</v>
      </c>
      <c r="G13" s="2">
        <v>3</v>
      </c>
    </row>
    <row r="14" spans="1:7" x14ac:dyDescent="0.35">
      <c r="A14" s="41">
        <v>0.15</v>
      </c>
      <c r="B14" s="56">
        <f>C14*2</f>
        <v>73800</v>
      </c>
      <c r="C14" s="56">
        <v>36900</v>
      </c>
      <c r="D14" s="56">
        <v>49400</v>
      </c>
      <c r="E14" s="41">
        <v>0</v>
      </c>
      <c r="F14" t="str">
        <f>D12</f>
        <v>Head of Household</v>
      </c>
      <c r="G14" s="2">
        <v>4</v>
      </c>
    </row>
    <row r="15" spans="1:7" x14ac:dyDescent="0.35">
      <c r="A15" s="41">
        <v>0.25</v>
      </c>
      <c r="B15" s="56">
        <v>148850</v>
      </c>
      <c r="C15" s="56">
        <v>89350</v>
      </c>
      <c r="D15" s="56">
        <v>127550</v>
      </c>
      <c r="E15" s="41">
        <v>0.15</v>
      </c>
    </row>
    <row r="16" spans="1:7" x14ac:dyDescent="0.35">
      <c r="A16" s="41">
        <v>0.28000000000000003</v>
      </c>
      <c r="B16" s="56">
        <v>226850</v>
      </c>
      <c r="C16" s="56">
        <v>186350</v>
      </c>
      <c r="D16" s="56">
        <v>206600</v>
      </c>
      <c r="E16" s="41">
        <v>0.15</v>
      </c>
    </row>
    <row r="17" spans="1:5" x14ac:dyDescent="0.35">
      <c r="A17" s="41">
        <v>0.33</v>
      </c>
      <c r="B17" s="56">
        <v>405100</v>
      </c>
      <c r="C17" s="56">
        <v>405100</v>
      </c>
      <c r="D17" s="56">
        <v>405100</v>
      </c>
      <c r="E17" s="41">
        <v>0.15</v>
      </c>
    </row>
    <row r="18" spans="1:5" x14ac:dyDescent="0.35">
      <c r="A18" s="41">
        <v>0.35</v>
      </c>
      <c r="B18" s="56">
        <v>457600</v>
      </c>
      <c r="C18" s="56">
        <v>406750</v>
      </c>
      <c r="D18" s="56">
        <v>432200</v>
      </c>
      <c r="E18" s="41">
        <v>0.15</v>
      </c>
    </row>
    <row r="19" spans="1:5" x14ac:dyDescent="0.35">
      <c r="A19" s="53">
        <v>0.39600000000000002</v>
      </c>
      <c r="B19" s="56"/>
      <c r="C19" s="56"/>
      <c r="D19" s="56"/>
      <c r="E19" s="53">
        <v>0.2</v>
      </c>
    </row>
  </sheetData>
  <pageMargins left="0.7" right="0.7" top="0.75" bottom="0.75" header="0.3" footer="0.3"/>
  <pageSetup orientation="portrait" horizontalDpi="1200" verticalDpi="1200" r:id="rId1"/>
  <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
  <dimension ref="C5:L28"/>
  <sheetViews>
    <sheetView workbookViewId="0">
      <selection activeCell="C1" sqref="C1"/>
    </sheetView>
  </sheetViews>
  <sheetFormatPr defaultRowHeight="14.5" x14ac:dyDescent="0.35"/>
  <cols>
    <col min="3" max="3" width="72.54296875" bestFit="1" customWidth="1"/>
    <col min="4" max="4" width="20.1796875" style="2" customWidth="1"/>
    <col min="5" max="5" width="19.26953125" customWidth="1"/>
    <col min="6" max="6" width="22" customWidth="1"/>
    <col min="7" max="7" width="27.1796875" style="7" customWidth="1"/>
    <col min="8" max="8" width="19.453125" style="2" customWidth="1"/>
    <col min="9" max="9" width="27.1796875" style="49" bestFit="1" customWidth="1"/>
    <col min="10" max="10" width="20" style="2" bestFit="1" customWidth="1"/>
    <col min="11" max="11" width="19.1796875" style="2" customWidth="1"/>
    <col min="12" max="12" width="13" style="2" customWidth="1"/>
  </cols>
  <sheetData>
    <row r="5" spans="3:12" ht="18.5" x14ac:dyDescent="0.35">
      <c r="C5" s="50" t="s">
        <v>135</v>
      </c>
      <c r="E5" s="296" t="s">
        <v>136</v>
      </c>
      <c r="F5" s="297"/>
      <c r="G5" s="297"/>
      <c r="H5" s="294"/>
      <c r="I5" s="294"/>
      <c r="J5" s="294"/>
      <c r="K5" s="294"/>
      <c r="L5" s="298"/>
    </row>
    <row r="6" spans="3:12" x14ac:dyDescent="0.35">
      <c r="C6" s="51" t="s">
        <v>423</v>
      </c>
      <c r="D6" s="7">
        <f>221519</f>
        <v>221519</v>
      </c>
      <c r="E6" s="59" t="s">
        <v>100</v>
      </c>
      <c r="F6" s="59">
        <v>0</v>
      </c>
      <c r="G6" s="56" t="s">
        <v>139</v>
      </c>
      <c r="H6" s="57" t="s">
        <v>137</v>
      </c>
      <c r="I6" s="58" t="s">
        <v>140</v>
      </c>
      <c r="J6" s="59" t="s">
        <v>138</v>
      </c>
      <c r="K6" s="59">
        <v>1</v>
      </c>
      <c r="L6" s="57" t="s">
        <v>100</v>
      </c>
    </row>
    <row r="7" spans="3:12" x14ac:dyDescent="0.35">
      <c r="C7" s="51" t="s">
        <v>425</v>
      </c>
      <c r="D7" s="7">
        <f>21193</f>
        <v>21193</v>
      </c>
      <c r="E7" s="60">
        <f>TaxBracket!A13</f>
        <v>0.1</v>
      </c>
      <c r="F7" s="56">
        <f>VLOOKUP($E7,TaxBracket!$A:$D,VLOOKUP($D$10,TaxBracket!$F$12:$G$14,2,0),0)</f>
        <v>9075</v>
      </c>
      <c r="G7" s="56">
        <f>MAX(0,IF(K7=1,J7,$D$6-F6))</f>
        <v>9075</v>
      </c>
      <c r="H7" s="61">
        <f>G7*E7</f>
        <v>907.5</v>
      </c>
      <c r="I7" s="60">
        <f>G7/$G$14</f>
        <v>4.0967140516163396E-2</v>
      </c>
      <c r="J7" s="56">
        <f>F7</f>
        <v>9075</v>
      </c>
      <c r="K7" s="59">
        <f t="shared" ref="K7:K12" si="0">IF($D$6&gt;=F7,1,0)</f>
        <v>1</v>
      </c>
      <c r="L7" s="38">
        <f>IF(AND(K7=0,K6=1),E7,0)</f>
        <v>0</v>
      </c>
    </row>
    <row r="8" spans="3:12" x14ac:dyDescent="0.35">
      <c r="C8" s="51" t="s">
        <v>426</v>
      </c>
      <c r="D8" s="7">
        <f>58498</f>
        <v>58498</v>
      </c>
      <c r="E8" s="60">
        <f>TaxBracket!A14</f>
        <v>0.15</v>
      </c>
      <c r="F8" s="56">
        <f>VLOOKUP($E8,TaxBracket!$A:$D,VLOOKUP($D$10,TaxBracket!$F$12:$G$14,2,0),0)</f>
        <v>36900</v>
      </c>
      <c r="G8" s="56">
        <f t="shared" ref="G8:G13" si="1">MAX(0,IF(K8=1,J8,$D$6-F7))</f>
        <v>27825</v>
      </c>
      <c r="H8" s="61">
        <f t="shared" ref="H8:H13" si="2">G8*E8</f>
        <v>4173.75</v>
      </c>
      <c r="I8" s="60">
        <f t="shared" ref="I8:I13" si="3">G8/$G$14</f>
        <v>0.12560999282228613</v>
      </c>
      <c r="J8" s="56">
        <f>F8-F7</f>
        <v>27825</v>
      </c>
      <c r="K8" s="59">
        <f t="shared" si="0"/>
        <v>1</v>
      </c>
      <c r="L8" s="38">
        <f t="shared" ref="L8:L13" si="4">IF(AND(K8=0,K7=1),E8,0)</f>
        <v>0</v>
      </c>
    </row>
    <row r="9" spans="3:12" ht="15" customHeight="1" x14ac:dyDescent="0.35">
      <c r="E9" s="60">
        <f>TaxBracket!A15</f>
        <v>0.25</v>
      </c>
      <c r="F9" s="56">
        <f>VLOOKUP($E9,TaxBracket!$A:$D,VLOOKUP($D$10,TaxBracket!$F$12:$G$14,2,0),0)</f>
        <v>89350</v>
      </c>
      <c r="G9" s="56">
        <f t="shared" si="1"/>
        <v>52450</v>
      </c>
      <c r="H9" s="61">
        <f t="shared" si="2"/>
        <v>13112.5</v>
      </c>
      <c r="I9" s="60">
        <f t="shared" si="3"/>
        <v>0.23677427218432731</v>
      </c>
      <c r="J9" s="56">
        <f>F9-F8</f>
        <v>52450</v>
      </c>
      <c r="K9" s="59">
        <f t="shared" si="0"/>
        <v>1</v>
      </c>
      <c r="L9" s="38">
        <f t="shared" si="4"/>
        <v>0</v>
      </c>
    </row>
    <row r="10" spans="3:12" ht="22.5" customHeight="1" x14ac:dyDescent="0.35">
      <c r="C10" s="52" t="s">
        <v>128</v>
      </c>
      <c r="D10" s="47" t="s">
        <v>131</v>
      </c>
      <c r="E10" s="60">
        <f>TaxBracket!A16</f>
        <v>0.28000000000000003</v>
      </c>
      <c r="F10" s="56">
        <f>VLOOKUP($E10,TaxBracket!$A:$D,VLOOKUP($D$10,TaxBracket!$F$12:$G$14,2,0),0)</f>
        <v>186350</v>
      </c>
      <c r="G10" s="56">
        <f t="shared" si="1"/>
        <v>97000</v>
      </c>
      <c r="H10" s="61">
        <f t="shared" si="2"/>
        <v>27160.000000000004</v>
      </c>
      <c r="I10" s="60">
        <f t="shared" si="3"/>
        <v>0.43788568926367488</v>
      </c>
      <c r="J10" s="56">
        <f>F10-F9</f>
        <v>97000</v>
      </c>
      <c r="K10" s="59">
        <f t="shared" si="0"/>
        <v>1</v>
      </c>
      <c r="L10" s="38">
        <f t="shared" si="4"/>
        <v>0</v>
      </c>
    </row>
    <row r="11" spans="3:12" x14ac:dyDescent="0.35">
      <c r="E11" s="60">
        <f>TaxBracket!A17</f>
        <v>0.33</v>
      </c>
      <c r="F11" s="56">
        <f>VLOOKUP($E11,TaxBracket!$A:$D,VLOOKUP($D$10,TaxBracket!$F$12:$G$14,2,0),0)</f>
        <v>405100</v>
      </c>
      <c r="G11" s="56">
        <f t="shared" si="1"/>
        <v>35169</v>
      </c>
      <c r="H11" s="61">
        <f t="shared" si="2"/>
        <v>11605.77</v>
      </c>
      <c r="I11" s="60">
        <f t="shared" si="3"/>
        <v>0.15876290521354827</v>
      </c>
      <c r="J11" s="56">
        <f>F11-F10</f>
        <v>218750</v>
      </c>
      <c r="K11" s="59">
        <f t="shared" si="0"/>
        <v>0</v>
      </c>
      <c r="L11" s="38">
        <f t="shared" si="4"/>
        <v>0.33</v>
      </c>
    </row>
    <row r="12" spans="3:12" ht="18.5" x14ac:dyDescent="0.35">
      <c r="C12" s="50" t="s">
        <v>134</v>
      </c>
      <c r="E12" s="60">
        <f>TaxBracket!A18</f>
        <v>0.35</v>
      </c>
      <c r="F12" s="56">
        <f>VLOOKUP($E12,TaxBracket!$A:$D,VLOOKUP($D$10,TaxBracket!$F$12:$G$14,2,0),0)</f>
        <v>406750</v>
      </c>
      <c r="G12" s="56">
        <f t="shared" si="1"/>
        <v>0</v>
      </c>
      <c r="H12" s="61">
        <f t="shared" si="2"/>
        <v>0</v>
      </c>
      <c r="I12" s="60">
        <f t="shared" si="3"/>
        <v>0</v>
      </c>
      <c r="J12" s="56">
        <f>F12-F11</f>
        <v>1650</v>
      </c>
      <c r="K12" s="59">
        <f t="shared" si="0"/>
        <v>0</v>
      </c>
      <c r="L12" s="38">
        <f t="shared" si="4"/>
        <v>0</v>
      </c>
    </row>
    <row r="13" spans="3:12" x14ac:dyDescent="0.35">
      <c r="C13" s="51" t="s">
        <v>424</v>
      </c>
      <c r="E13" s="60">
        <f>TaxBracket!A19</f>
        <v>0.39600000000000002</v>
      </c>
      <c r="F13" s="56"/>
      <c r="G13" s="56">
        <f t="shared" si="1"/>
        <v>0</v>
      </c>
      <c r="H13" s="61">
        <f t="shared" si="2"/>
        <v>0</v>
      </c>
      <c r="I13" s="60">
        <f t="shared" si="3"/>
        <v>0</v>
      </c>
      <c r="J13" s="56"/>
      <c r="K13" s="59"/>
      <c r="L13" s="38">
        <f t="shared" si="4"/>
        <v>0</v>
      </c>
    </row>
    <row r="14" spans="3:12" x14ac:dyDescent="0.35">
      <c r="C14" s="51" t="s">
        <v>133</v>
      </c>
      <c r="D14" s="36">
        <f>VLOOKUP(L14,TaxBracket!A:E,5,0)</f>
        <v>0.15</v>
      </c>
      <c r="E14" s="47"/>
      <c r="F14" s="47"/>
      <c r="G14" s="48">
        <f>SUM(G7:G13)</f>
        <v>221519</v>
      </c>
      <c r="H14" s="48">
        <f>SUM(H7:H13)</f>
        <v>56959.520000000004</v>
      </c>
      <c r="I14" s="62">
        <f>H14/G14</f>
        <v>0.25713153273534101</v>
      </c>
      <c r="J14" s="47"/>
      <c r="K14" s="47"/>
      <c r="L14" s="36">
        <f>SUM(L7:L13)</f>
        <v>0.33</v>
      </c>
    </row>
    <row r="15" spans="3:12" x14ac:dyDescent="0.35">
      <c r="C15" s="51" t="s">
        <v>129</v>
      </c>
      <c r="D15" s="49">
        <f>I14</f>
        <v>0.25713153273534101</v>
      </c>
      <c r="I15" s="49">
        <f>SUMPRODUCT(E7:E13,I7:I13)</f>
        <v>0.25713153273534101</v>
      </c>
    </row>
    <row r="16" spans="3:12" x14ac:dyDescent="0.35">
      <c r="C16" s="63" t="s">
        <v>142</v>
      </c>
      <c r="D16" s="2" t="str">
        <f>IF(D7&gt;=0,"GAIN","LOSS")</f>
        <v>GAIN</v>
      </c>
    </row>
    <row r="17" spans="3:12" x14ac:dyDescent="0.35">
      <c r="C17" s="63" t="s">
        <v>141</v>
      </c>
      <c r="D17" s="2" t="str">
        <f>IF(D8&gt;=0,"GAIN","LOSS")</f>
        <v>GAIN</v>
      </c>
      <c r="E17" s="28">
        <f>52640/D6</f>
        <v>0.23763198642102934</v>
      </c>
    </row>
    <row r="18" spans="3:12" x14ac:dyDescent="0.35">
      <c r="C18" s="63" t="s">
        <v>143</v>
      </c>
      <c r="D18" s="2" t="str">
        <f>IF(D7+D8&gt;=0,"GAIN","LOSS")</f>
        <v>GAIN</v>
      </c>
    </row>
    <row r="19" spans="3:12" x14ac:dyDescent="0.35">
      <c r="C19" s="64" t="s">
        <v>427</v>
      </c>
      <c r="D19" s="7">
        <f>D7+D8</f>
        <v>79691</v>
      </c>
      <c r="E19">
        <f>(D7*D14+D8*D15)</f>
        <v>18220.630401951978</v>
      </c>
      <c r="H19" s="221"/>
      <c r="J19" s="221"/>
      <c r="K19" s="221"/>
      <c r="L19" s="221"/>
    </row>
    <row r="20" spans="3:12" x14ac:dyDescent="0.35">
      <c r="C20" s="64" t="s">
        <v>429</v>
      </c>
      <c r="D20" s="8">
        <f>D21/D19</f>
        <v>3.9890953809087595E-2</v>
      </c>
      <c r="H20" s="221"/>
      <c r="J20" s="221"/>
      <c r="K20" s="221"/>
      <c r="L20" s="221"/>
    </row>
    <row r="21" spans="3:12" x14ac:dyDescent="0.35">
      <c r="C21" s="64" t="s">
        <v>144</v>
      </c>
      <c r="D21" s="2">
        <f>IF(AND(D16="GAIN",D17="GAIN"),D14*D7,IF(AND(D18="GAIN",D16="GAIN"),D14*(D7+D8),-999))</f>
        <v>3178.95</v>
      </c>
    </row>
    <row r="22" spans="3:12" x14ac:dyDescent="0.35">
      <c r="C22" s="55" t="s">
        <v>145</v>
      </c>
      <c r="E22" s="2" t="s">
        <v>158</v>
      </c>
      <c r="F22" s="38" t="s">
        <v>150</v>
      </c>
      <c r="G22" s="54" t="s">
        <v>151</v>
      </c>
      <c r="H22" s="38" t="s">
        <v>157</v>
      </c>
      <c r="I22" s="53" t="s">
        <v>148</v>
      </c>
      <c r="J22" s="38" t="s">
        <v>159</v>
      </c>
      <c r="K22" s="38" t="s">
        <v>160</v>
      </c>
      <c r="L22" s="53" t="s">
        <v>104</v>
      </c>
    </row>
    <row r="23" spans="3:12" x14ac:dyDescent="0.35">
      <c r="C23" s="55" t="s">
        <v>163</v>
      </c>
      <c r="E23" s="2" t="str">
        <f t="shared" ref="E23:E28" si="5">F23&amp;"_"&amp;G23&amp;"_"&amp;H23</f>
        <v>GAIN_GAIN_GAIN</v>
      </c>
      <c r="F23" s="38" t="s">
        <v>146</v>
      </c>
      <c r="G23" s="54" t="s">
        <v>146</v>
      </c>
      <c r="H23" s="38" t="s">
        <v>146</v>
      </c>
      <c r="I23" s="53" t="s">
        <v>149</v>
      </c>
      <c r="J23" s="38" t="s">
        <v>161</v>
      </c>
      <c r="K23" s="38" t="s">
        <v>162</v>
      </c>
      <c r="L23" s="66" t="s">
        <v>153</v>
      </c>
    </row>
    <row r="24" spans="3:12" x14ac:dyDescent="0.35">
      <c r="C24" s="65" t="s">
        <v>164</v>
      </c>
      <c r="E24" s="2" t="str">
        <f t="shared" si="5"/>
        <v>GAIN_LOSS_GAIN</v>
      </c>
      <c r="F24" s="38" t="s">
        <v>146</v>
      </c>
      <c r="G24" s="54" t="s">
        <v>147</v>
      </c>
      <c r="H24" s="38" t="s">
        <v>146</v>
      </c>
      <c r="I24" s="53" t="s">
        <v>150</v>
      </c>
      <c r="J24" s="38" t="s">
        <v>161</v>
      </c>
      <c r="K24" s="38" t="s">
        <v>161</v>
      </c>
      <c r="L24" s="66" t="s">
        <v>154</v>
      </c>
    </row>
    <row r="25" spans="3:12" x14ac:dyDescent="0.35">
      <c r="E25" s="2" t="str">
        <f t="shared" si="5"/>
        <v>GAIN_LOSS_LOSS</v>
      </c>
      <c r="F25" s="38" t="s">
        <v>146</v>
      </c>
      <c r="G25" s="54" t="s">
        <v>147</v>
      </c>
      <c r="H25" s="38" t="s">
        <v>147</v>
      </c>
      <c r="I25" s="53" t="s">
        <v>151</v>
      </c>
      <c r="J25" s="38" t="s">
        <v>162</v>
      </c>
      <c r="K25" s="38" t="s">
        <v>162</v>
      </c>
      <c r="L25" s="66" t="s">
        <v>155</v>
      </c>
    </row>
    <row r="26" spans="3:12" x14ac:dyDescent="0.35">
      <c r="E26" s="2" t="str">
        <f t="shared" si="5"/>
        <v>LOSS_GAIN_LOSS</v>
      </c>
      <c r="F26" s="38" t="s">
        <v>147</v>
      </c>
      <c r="G26" s="54" t="s">
        <v>146</v>
      </c>
      <c r="H26" s="38" t="s">
        <v>147</v>
      </c>
      <c r="I26" s="53" t="s">
        <v>150</v>
      </c>
      <c r="J26" s="38" t="s">
        <v>161</v>
      </c>
      <c r="K26" s="38" t="s">
        <v>161</v>
      </c>
      <c r="L26" s="66" t="s">
        <v>156</v>
      </c>
    </row>
    <row r="27" spans="3:12" x14ac:dyDescent="0.35">
      <c r="E27" s="2" t="str">
        <f t="shared" si="5"/>
        <v>LOSS_GAIN_GAIN</v>
      </c>
      <c r="F27" s="38" t="s">
        <v>147</v>
      </c>
      <c r="G27" s="54" t="s">
        <v>146</v>
      </c>
      <c r="H27" s="38" t="s">
        <v>146</v>
      </c>
      <c r="I27" s="53" t="s">
        <v>151</v>
      </c>
      <c r="J27" s="38" t="s">
        <v>162</v>
      </c>
      <c r="K27" s="38" t="s">
        <v>162</v>
      </c>
      <c r="L27" s="66" t="s">
        <v>152</v>
      </c>
    </row>
    <row r="28" spans="3:12" x14ac:dyDescent="0.35">
      <c r="E28" s="2" t="str">
        <f t="shared" si="5"/>
        <v>LOSS_LOSS_LOSS</v>
      </c>
      <c r="F28" s="38" t="s">
        <v>147</v>
      </c>
      <c r="G28" s="54" t="s">
        <v>147</v>
      </c>
      <c r="H28" s="38" t="s">
        <v>147</v>
      </c>
      <c r="I28" s="53" t="s">
        <v>149</v>
      </c>
      <c r="J28" s="38" t="s">
        <v>162</v>
      </c>
      <c r="K28" s="38" t="s">
        <v>162</v>
      </c>
      <c r="L28" s="66" t="s">
        <v>428</v>
      </c>
    </row>
  </sheetData>
  <mergeCells count="1">
    <mergeCell ref="E5:L5"/>
  </mergeCells>
  <pageMargins left="0.7" right="0.7" top="0.75" bottom="0.75" header="0.3" footer="0.3"/>
  <pageSetup orientation="portrait" r:id="rId1"/>
  <drawing r:id="rId2"/>
  <legacyDrawing r:id="rId3"/>
  <controls>
    <mc:AlternateContent xmlns:mc="http://schemas.openxmlformats.org/markup-compatibility/2006">
      <mc:Choice Requires="x14">
        <control shapeId="11265" r:id="rId4" name="ComboBox21">
          <controlPr defaultSize="0" autoLine="0" linkedCell="$D$10" listFillRange="TaxBracket!$F$12:$F$14" r:id="rId5">
            <anchor moveWithCells="1">
              <from>
                <xdr:col>2</xdr:col>
                <xdr:colOff>1041400</xdr:colOff>
                <xdr:row>8</xdr:row>
                <xdr:rowOff>184150</xdr:rowOff>
              </from>
              <to>
                <xdr:col>2</xdr:col>
                <xdr:colOff>4864100</xdr:colOff>
                <xdr:row>10</xdr:row>
                <xdr:rowOff>12700</xdr:rowOff>
              </to>
            </anchor>
          </controlPr>
        </control>
      </mc:Choice>
      <mc:Fallback>
        <control shapeId="11265" r:id="rId4" name="ComboBox21"/>
      </mc:Fallback>
    </mc:AlternateContent>
  </control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7"/>
  <dimension ref="B1:N44"/>
  <sheetViews>
    <sheetView zoomScaleNormal="100" workbookViewId="0">
      <selection activeCell="F4" sqref="F4"/>
    </sheetView>
  </sheetViews>
  <sheetFormatPr defaultRowHeight="14.5" x14ac:dyDescent="0.35"/>
  <cols>
    <col min="2" max="2" width="12.26953125" bestFit="1" customWidth="1"/>
    <col min="3" max="3" width="12" style="46" customWidth="1"/>
    <col min="4" max="4" width="15.54296875" style="8" bestFit="1" customWidth="1"/>
    <col min="6" max="6" width="13.81640625" style="8" bestFit="1" customWidth="1"/>
  </cols>
  <sheetData>
    <row r="1" spans="2:11" x14ac:dyDescent="0.35">
      <c r="D1" s="8" t="s">
        <v>123</v>
      </c>
      <c r="I1">
        <f>-0.0598</f>
        <v>-5.9799999999999999E-2</v>
      </c>
      <c r="J1">
        <v>1.7907999999999999</v>
      </c>
      <c r="K1">
        <v>-14.372999999999999</v>
      </c>
    </row>
    <row r="2" spans="2:11" x14ac:dyDescent="0.35">
      <c r="D2" s="8" t="s">
        <v>127</v>
      </c>
      <c r="I2" t="s">
        <v>257</v>
      </c>
      <c r="J2" t="s">
        <v>252</v>
      </c>
      <c r="K2" t="s">
        <v>251</v>
      </c>
    </row>
    <row r="3" spans="2:11" x14ac:dyDescent="0.35">
      <c r="B3" t="s">
        <v>124</v>
      </c>
      <c r="C3" s="46" t="s">
        <v>119</v>
      </c>
      <c r="D3" s="8" t="s">
        <v>122</v>
      </c>
      <c r="E3" t="s">
        <v>121</v>
      </c>
      <c r="F3" s="8" t="s">
        <v>634</v>
      </c>
      <c r="H3" t="s">
        <v>125</v>
      </c>
      <c r="I3" t="s">
        <v>126</v>
      </c>
    </row>
    <row r="4" spans="2:11" x14ac:dyDescent="0.35">
      <c r="B4" s="45">
        <f>C4-10000</f>
        <v>0</v>
      </c>
      <c r="C4" s="46">
        <v>10000</v>
      </c>
      <c r="D4" s="8">
        <f>E4/C4</f>
        <v>0</v>
      </c>
      <c r="E4">
        <v>0</v>
      </c>
      <c r="F4" s="8">
        <f>IF(D4=0,0,EXP($K$1+$J$1*LN(B4)+$I$1*LN(B4)^2))</f>
        <v>0</v>
      </c>
    </row>
    <row r="5" spans="2:11" x14ac:dyDescent="0.35">
      <c r="B5" s="45">
        <f t="shared" ref="B5:B44" si="0">C5-10000</f>
        <v>1000</v>
      </c>
      <c r="C5" s="46">
        <v>11000</v>
      </c>
      <c r="D5" s="8">
        <f t="shared" ref="D5:D44" si="1">E5/C5</f>
        <v>7.7272727272727276E-3</v>
      </c>
      <c r="E5">
        <v>85</v>
      </c>
      <c r="F5" s="8">
        <f t="shared" ref="F5:F44" si="2">IF(D5=0,0,EXP($K$1+$J$1*LN(B5)+$I$1*LN(B5)^2))</f>
        <v>7.7809766950768383E-3</v>
      </c>
      <c r="H5">
        <f>LN(B5)</f>
        <v>6.9077552789821368</v>
      </c>
      <c r="I5">
        <f>LN(D5)</f>
        <v>-4.8629992952901908</v>
      </c>
    </row>
    <row r="6" spans="2:11" x14ac:dyDescent="0.35">
      <c r="B6" s="45">
        <f t="shared" si="0"/>
        <v>5000</v>
      </c>
      <c r="C6" s="46">
        <v>15000</v>
      </c>
      <c r="D6" s="8">
        <f t="shared" si="1"/>
        <v>3.2333333333333332E-2</v>
      </c>
      <c r="E6">
        <v>485</v>
      </c>
      <c r="F6" s="8">
        <f t="shared" si="2"/>
        <v>3.1478304753166181E-2</v>
      </c>
      <c r="H6">
        <f t="shared" ref="H6:H44" si="3">LN(B6)</f>
        <v>8.5171931914162382</v>
      </c>
      <c r="I6">
        <f t="shared" ref="I6:I44" si="4">LN(D6)</f>
        <v>-3.431656589146864</v>
      </c>
    </row>
    <row r="7" spans="2:11" x14ac:dyDescent="0.35">
      <c r="B7" s="45">
        <f t="shared" si="0"/>
        <v>10000</v>
      </c>
      <c r="C7" s="46">
        <v>20000</v>
      </c>
      <c r="D7" s="8">
        <f t="shared" si="1"/>
        <v>5.1200000000000002E-2</v>
      </c>
      <c r="E7">
        <v>1024</v>
      </c>
      <c r="F7" s="8">
        <f t="shared" si="2"/>
        <v>5.2236250349632148E-2</v>
      </c>
      <c r="H7">
        <f t="shared" si="3"/>
        <v>9.2103403719761836</v>
      </c>
      <c r="I7">
        <f t="shared" si="4"/>
        <v>-2.972015746936675</v>
      </c>
    </row>
    <row r="8" spans="2:11" x14ac:dyDescent="0.35">
      <c r="B8" s="45">
        <f t="shared" si="0"/>
        <v>15000</v>
      </c>
      <c r="C8" s="46">
        <v>25000</v>
      </c>
      <c r="D8" s="8">
        <f t="shared" si="1"/>
        <v>7.0959999999999995E-2</v>
      </c>
      <c r="E8">
        <v>1774</v>
      </c>
      <c r="F8" s="8">
        <f t="shared" si="2"/>
        <v>6.8402513694589329E-2</v>
      </c>
      <c r="H8">
        <f t="shared" si="3"/>
        <v>9.6158054800843473</v>
      </c>
      <c r="I8">
        <f t="shared" si="4"/>
        <v>-2.6456389409808132</v>
      </c>
    </row>
    <row r="9" spans="2:11" x14ac:dyDescent="0.35">
      <c r="B9" s="45">
        <f t="shared" si="0"/>
        <v>20000</v>
      </c>
      <c r="C9" s="46">
        <f>30000</f>
        <v>30000</v>
      </c>
      <c r="D9" s="8">
        <f t="shared" si="1"/>
        <v>8.4133333333333338E-2</v>
      </c>
      <c r="E9">
        <v>2524</v>
      </c>
      <c r="F9" s="8">
        <f t="shared" si="2"/>
        <v>8.1842171846918776E-2</v>
      </c>
      <c r="H9">
        <f t="shared" si="3"/>
        <v>9.9034875525361272</v>
      </c>
      <c r="I9">
        <f t="shared" si="4"/>
        <v>-2.4753524369831887</v>
      </c>
    </row>
    <row r="10" spans="2:11" x14ac:dyDescent="0.35">
      <c r="B10" s="45">
        <f t="shared" si="0"/>
        <v>25000</v>
      </c>
      <c r="C10" s="46">
        <f t="shared" ref="C10:C15" si="5">C9+5000</f>
        <v>35000</v>
      </c>
      <c r="D10" s="8">
        <f t="shared" si="1"/>
        <v>9.3542857142857136E-2</v>
      </c>
      <c r="E10">
        <v>3274</v>
      </c>
      <c r="F10" s="8">
        <f t="shared" si="2"/>
        <v>9.3421035601744043E-2</v>
      </c>
      <c r="H10">
        <f t="shared" si="3"/>
        <v>10.126631103850338</v>
      </c>
      <c r="I10">
        <f t="shared" si="4"/>
        <v>-2.3693355825404705</v>
      </c>
    </row>
    <row r="11" spans="2:11" x14ac:dyDescent="0.35">
      <c r="B11" s="45">
        <f t="shared" si="0"/>
        <v>30000</v>
      </c>
      <c r="C11" s="46">
        <f t="shared" si="5"/>
        <v>40000</v>
      </c>
      <c r="D11" s="8">
        <f t="shared" si="1"/>
        <v>0.10059999999999999</v>
      </c>
      <c r="E11">
        <v>4024</v>
      </c>
      <c r="F11" s="8">
        <f t="shared" si="2"/>
        <v>0.10362849156185763</v>
      </c>
      <c r="H11">
        <f t="shared" si="3"/>
        <v>10.308952660644293</v>
      </c>
      <c r="I11">
        <f t="shared" si="4"/>
        <v>-2.2966030213164981</v>
      </c>
    </row>
    <row r="12" spans="2:11" x14ac:dyDescent="0.35">
      <c r="B12" s="45">
        <f t="shared" si="0"/>
        <v>35000</v>
      </c>
      <c r="C12" s="46">
        <f t="shared" si="5"/>
        <v>45000</v>
      </c>
      <c r="D12" s="8">
        <f t="shared" si="1"/>
        <v>0.10608888888888889</v>
      </c>
      <c r="E12">
        <v>4774</v>
      </c>
      <c r="F12" s="8">
        <f t="shared" si="2"/>
        <v>0.1127738128580611</v>
      </c>
      <c r="H12">
        <f t="shared" si="3"/>
        <v>10.46310334047155</v>
      </c>
      <c r="I12">
        <f t="shared" si="4"/>
        <v>-2.2434779618536815</v>
      </c>
    </row>
    <row r="13" spans="2:11" x14ac:dyDescent="0.35">
      <c r="B13" s="45">
        <f t="shared" si="0"/>
        <v>40000</v>
      </c>
      <c r="C13" s="46">
        <f t="shared" si="5"/>
        <v>50000</v>
      </c>
      <c r="D13" s="8">
        <f t="shared" si="1"/>
        <v>0.11638</v>
      </c>
      <c r="E13">
        <v>5819</v>
      </c>
      <c r="F13" s="8">
        <f t="shared" si="2"/>
        <v>0.1210672810192582</v>
      </c>
      <c r="H13">
        <f t="shared" si="3"/>
        <v>10.596634733096073</v>
      </c>
      <c r="I13">
        <f t="shared" si="4"/>
        <v>-2.1508945797536132</v>
      </c>
    </row>
    <row r="14" spans="2:11" x14ac:dyDescent="0.35">
      <c r="B14" s="45">
        <f t="shared" si="0"/>
        <v>45000</v>
      </c>
      <c r="C14" s="46">
        <f t="shared" si="5"/>
        <v>55000</v>
      </c>
      <c r="D14" s="8">
        <f t="shared" si="1"/>
        <v>0.12852727272727274</v>
      </c>
      <c r="E14">
        <v>7069</v>
      </c>
      <c r="F14" s="8">
        <f t="shared" si="2"/>
        <v>0.12865951308771109</v>
      </c>
      <c r="H14">
        <f t="shared" si="3"/>
        <v>10.714417768752456</v>
      </c>
      <c r="I14">
        <f t="shared" si="4"/>
        <v>-2.051614158043654</v>
      </c>
    </row>
    <row r="15" spans="2:11" x14ac:dyDescent="0.35">
      <c r="B15" s="45">
        <f t="shared" si="0"/>
        <v>50000</v>
      </c>
      <c r="C15" s="46">
        <f t="shared" si="5"/>
        <v>60000</v>
      </c>
      <c r="D15" s="8">
        <f t="shared" si="1"/>
        <v>0.13865</v>
      </c>
      <c r="E15">
        <v>8319</v>
      </c>
      <c r="F15" s="8">
        <f t="shared" si="2"/>
        <v>0.13566269534449746</v>
      </c>
      <c r="H15">
        <f t="shared" si="3"/>
        <v>10.819778284410283</v>
      </c>
      <c r="I15">
        <f t="shared" si="4"/>
        <v>-1.97580250692035</v>
      </c>
    </row>
    <row r="16" spans="2:11" x14ac:dyDescent="0.35">
      <c r="B16" s="45">
        <f t="shared" si="0"/>
        <v>60000</v>
      </c>
      <c r="C16" s="46">
        <f>C15+10000</f>
        <v>70000</v>
      </c>
      <c r="D16" s="8">
        <f t="shared" si="1"/>
        <v>0.15455714285714287</v>
      </c>
      <c r="E16">
        <v>10819</v>
      </c>
      <c r="F16" s="8">
        <f t="shared" si="2"/>
        <v>0.14822818246209502</v>
      </c>
      <c r="H16">
        <f t="shared" si="3"/>
        <v>11.002099841204238</v>
      </c>
      <c r="I16">
        <f t="shared" si="4"/>
        <v>-1.8671913943439227</v>
      </c>
    </row>
    <row r="17" spans="2:9" x14ac:dyDescent="0.35">
      <c r="B17" s="45">
        <f t="shared" si="0"/>
        <v>70000</v>
      </c>
      <c r="C17" s="46">
        <f t="shared" ref="C17:C34" si="6">C16+10000</f>
        <v>80000</v>
      </c>
      <c r="D17" s="8">
        <f t="shared" si="1"/>
        <v>0.16648750000000001</v>
      </c>
      <c r="E17">
        <v>13319</v>
      </c>
      <c r="F17" s="8">
        <f t="shared" si="2"/>
        <v>0.15926118952896276</v>
      </c>
      <c r="H17">
        <f t="shared" si="3"/>
        <v>11.156250521031495</v>
      </c>
      <c r="I17">
        <f t="shared" si="4"/>
        <v>-1.7928350474549881</v>
      </c>
    </row>
    <row r="18" spans="2:9" x14ac:dyDescent="0.35">
      <c r="B18" s="45">
        <f t="shared" si="0"/>
        <v>80000</v>
      </c>
      <c r="C18" s="46">
        <f t="shared" si="6"/>
        <v>90000</v>
      </c>
      <c r="D18" s="8">
        <f t="shared" si="1"/>
        <v>0.17576666666666665</v>
      </c>
      <c r="E18">
        <v>15819</v>
      </c>
      <c r="F18" s="8">
        <f t="shared" si="2"/>
        <v>0.16909116808852689</v>
      </c>
      <c r="H18">
        <f t="shared" si="3"/>
        <v>11.289781913656018</v>
      </c>
      <c r="I18">
        <f t="shared" si="4"/>
        <v>-1.7385979211138227</v>
      </c>
    </row>
    <row r="19" spans="2:9" x14ac:dyDescent="0.35">
      <c r="B19" s="45">
        <f t="shared" si="0"/>
        <v>90000</v>
      </c>
      <c r="C19" s="46">
        <f t="shared" si="6"/>
        <v>100000</v>
      </c>
      <c r="D19" s="8">
        <f t="shared" si="1"/>
        <v>0.18334</v>
      </c>
      <c r="E19">
        <v>18334</v>
      </c>
      <c r="F19" s="8">
        <f t="shared" si="2"/>
        <v>0.17794896816032349</v>
      </c>
      <c r="H19">
        <f t="shared" si="3"/>
        <v>11.407564949312402</v>
      </c>
      <c r="I19">
        <f t="shared" si="4"/>
        <v>-1.6964129264485075</v>
      </c>
    </row>
    <row r="20" spans="2:9" x14ac:dyDescent="0.35">
      <c r="B20" s="45">
        <f t="shared" si="0"/>
        <v>100000</v>
      </c>
      <c r="C20" s="46">
        <f t="shared" si="6"/>
        <v>110000</v>
      </c>
      <c r="D20" s="8">
        <f t="shared" si="1"/>
        <v>0.19212727272727273</v>
      </c>
      <c r="E20">
        <v>21134</v>
      </c>
      <c r="F20" s="8">
        <f t="shared" si="2"/>
        <v>0.18600332064531044</v>
      </c>
      <c r="H20">
        <f t="shared" si="3"/>
        <v>11.512925464970229</v>
      </c>
      <c r="I20">
        <f t="shared" si="4"/>
        <v>-1.6495972477735772</v>
      </c>
    </row>
    <row r="21" spans="2:9" x14ac:dyDescent="0.35">
      <c r="B21" s="45">
        <f t="shared" si="0"/>
        <v>110000</v>
      </c>
      <c r="C21" s="46">
        <f t="shared" si="6"/>
        <v>120000</v>
      </c>
      <c r="D21" s="8">
        <f t="shared" si="1"/>
        <v>0.19944999999999999</v>
      </c>
      <c r="E21">
        <v>23934</v>
      </c>
      <c r="F21" s="8">
        <f t="shared" si="2"/>
        <v>0.19338167206141579</v>
      </c>
      <c r="H21">
        <f t="shared" si="3"/>
        <v>11.608235644774552</v>
      </c>
      <c r="I21">
        <f t="shared" si="4"/>
        <v>-1.6121917006307214</v>
      </c>
    </row>
    <row r="22" spans="2:9" x14ac:dyDescent="0.35">
      <c r="B22" s="45">
        <f t="shared" si="0"/>
        <v>120000</v>
      </c>
      <c r="C22" s="46">
        <f t="shared" si="6"/>
        <v>130000</v>
      </c>
      <c r="D22" s="8">
        <f t="shared" si="1"/>
        <v>0.20564615384615384</v>
      </c>
      <c r="E22">
        <v>26734</v>
      </c>
      <c r="F22" s="8">
        <f t="shared" si="2"/>
        <v>0.20018285665735236</v>
      </c>
      <c r="H22">
        <f t="shared" si="3"/>
        <v>11.695247021764184</v>
      </c>
      <c r="I22">
        <f t="shared" si="4"/>
        <v>-1.5815982869063012</v>
      </c>
    </row>
    <row r="23" spans="2:9" x14ac:dyDescent="0.35">
      <c r="B23" s="45">
        <f t="shared" si="0"/>
        <v>130000</v>
      </c>
      <c r="C23" s="46">
        <f t="shared" si="6"/>
        <v>140000</v>
      </c>
      <c r="D23" s="8">
        <f t="shared" si="1"/>
        <v>0.21095714285714287</v>
      </c>
      <c r="E23">
        <v>29534</v>
      </c>
      <c r="F23" s="8">
        <f t="shared" si="2"/>
        <v>0.20648519674561142</v>
      </c>
      <c r="H23">
        <f t="shared" si="3"/>
        <v>11.77528972943772</v>
      </c>
      <c r="I23">
        <f t="shared" si="4"/>
        <v>-1.556100280557722</v>
      </c>
    </row>
    <row r="24" spans="2:9" x14ac:dyDescent="0.35">
      <c r="B24" s="45">
        <f t="shared" si="0"/>
        <v>140000</v>
      </c>
      <c r="C24" s="46">
        <f t="shared" si="6"/>
        <v>150000</v>
      </c>
      <c r="D24" s="8">
        <f t="shared" si="1"/>
        <v>0.21556</v>
      </c>
      <c r="E24">
        <v>32334</v>
      </c>
      <c r="F24" s="8">
        <f t="shared" si="2"/>
        <v>0.21235189374193811</v>
      </c>
      <c r="H24">
        <f t="shared" si="3"/>
        <v>11.849397701591441</v>
      </c>
      <c r="I24">
        <f t="shared" si="4"/>
        <v>-1.5345159859168411</v>
      </c>
    </row>
    <row r="25" spans="2:9" x14ac:dyDescent="0.35">
      <c r="B25" s="45">
        <f t="shared" si="0"/>
        <v>150000</v>
      </c>
      <c r="C25" s="46">
        <f t="shared" si="6"/>
        <v>160000</v>
      </c>
      <c r="D25" s="8">
        <f t="shared" si="1"/>
        <v>0.21958749999999999</v>
      </c>
      <c r="E25">
        <v>35134</v>
      </c>
      <c r="F25" s="8">
        <f t="shared" si="2"/>
        <v>0.21783473803145262</v>
      </c>
      <c r="H25">
        <f t="shared" si="3"/>
        <v>11.918390573078392</v>
      </c>
      <c r="I25">
        <f t="shared" si="4"/>
        <v>-1.5160044926426357</v>
      </c>
    </row>
    <row r="26" spans="2:9" x14ac:dyDescent="0.35">
      <c r="B26" s="45">
        <f t="shared" si="0"/>
        <v>160000</v>
      </c>
      <c r="C26" s="46">
        <f t="shared" si="6"/>
        <v>170000</v>
      </c>
      <c r="D26" s="8">
        <f t="shared" si="1"/>
        <v>0.22314117647058823</v>
      </c>
      <c r="E26">
        <v>37934</v>
      </c>
      <c r="F26" s="8">
        <f t="shared" si="2"/>
        <v>0.22297673490092243</v>
      </c>
      <c r="H26">
        <f t="shared" si="3"/>
        <v>11.982929094215963</v>
      </c>
      <c r="I26">
        <f t="shared" si="4"/>
        <v>-1.4999506294881311</v>
      </c>
    </row>
    <row r="27" spans="2:9" x14ac:dyDescent="0.35">
      <c r="B27" s="45">
        <f t="shared" si="0"/>
        <v>170000</v>
      </c>
      <c r="C27" s="46">
        <f t="shared" si="6"/>
        <v>180000</v>
      </c>
      <c r="D27" s="8">
        <f t="shared" si="1"/>
        <v>0.2263</v>
      </c>
      <c r="E27">
        <v>40734</v>
      </c>
      <c r="F27" s="8">
        <f t="shared" si="2"/>
        <v>0.22781400858271902</v>
      </c>
      <c r="H27">
        <f t="shared" si="3"/>
        <v>12.043553716032399</v>
      </c>
      <c r="I27">
        <f t="shared" si="4"/>
        <v>-1.4858937263426453</v>
      </c>
    </row>
    <row r="28" spans="2:9" x14ac:dyDescent="0.35">
      <c r="B28" s="45">
        <f t="shared" si="0"/>
        <v>180000</v>
      </c>
      <c r="C28" s="46">
        <f t="shared" si="6"/>
        <v>190000</v>
      </c>
      <c r="D28" s="8">
        <f t="shared" si="1"/>
        <v>0.22912631578947368</v>
      </c>
      <c r="E28">
        <v>43534</v>
      </c>
      <c r="F28" s="8">
        <f t="shared" si="2"/>
        <v>0.23237721197038749</v>
      </c>
      <c r="H28">
        <f t="shared" si="3"/>
        <v>12.100712129872347</v>
      </c>
      <c r="I28">
        <f t="shared" si="4"/>
        <v>-1.4734818301678407</v>
      </c>
    </row>
    <row r="29" spans="2:9" x14ac:dyDescent="0.35">
      <c r="B29" s="45">
        <f t="shared" si="0"/>
        <v>190000</v>
      </c>
      <c r="C29" s="46">
        <f t="shared" si="6"/>
        <v>200000</v>
      </c>
      <c r="D29" s="8">
        <f t="shared" si="1"/>
        <v>0.232545</v>
      </c>
      <c r="E29">
        <v>46509</v>
      </c>
      <c r="F29" s="8">
        <f t="shared" si="2"/>
        <v>0.23669258956107245</v>
      </c>
      <c r="H29">
        <f t="shared" si="3"/>
        <v>12.154779351142624</v>
      </c>
      <c r="I29">
        <f t="shared" si="4"/>
        <v>-1.4586715242957018</v>
      </c>
    </row>
    <row r="30" spans="2:9" x14ac:dyDescent="0.35">
      <c r="B30" s="45">
        <f t="shared" si="0"/>
        <v>200000</v>
      </c>
      <c r="C30" s="46">
        <f t="shared" si="6"/>
        <v>210000</v>
      </c>
      <c r="D30" s="8">
        <f t="shared" si="1"/>
        <v>0.23761428571428572</v>
      </c>
      <c r="E30">
        <v>49899</v>
      </c>
      <c r="F30" s="8">
        <f t="shared" si="2"/>
        <v>0.24078279193220395</v>
      </c>
      <c r="H30">
        <f t="shared" si="3"/>
        <v>12.206072645530174</v>
      </c>
      <c r="I30">
        <f t="shared" si="4"/>
        <v>-1.4371065682409612</v>
      </c>
    </row>
    <row r="31" spans="2:9" x14ac:dyDescent="0.35">
      <c r="B31" s="45">
        <f t="shared" si="0"/>
        <v>210000</v>
      </c>
      <c r="C31" s="46">
        <f t="shared" si="6"/>
        <v>220000</v>
      </c>
      <c r="D31" s="8">
        <f t="shared" si="1"/>
        <v>0.24222272727272728</v>
      </c>
      <c r="E31">
        <v>53289</v>
      </c>
      <c r="F31" s="8">
        <f t="shared" si="2"/>
        <v>0.24466750882771035</v>
      </c>
      <c r="H31">
        <f t="shared" si="3"/>
        <v>12.254862809699606</v>
      </c>
      <c r="I31">
        <f t="shared" si="4"/>
        <v>-1.4178976154665031</v>
      </c>
    </row>
    <row r="32" spans="2:9" x14ac:dyDescent="0.35">
      <c r="B32" s="45">
        <f t="shared" si="0"/>
        <v>220000</v>
      </c>
      <c r="C32" s="46">
        <f t="shared" si="6"/>
        <v>230000</v>
      </c>
      <c r="D32" s="8">
        <f t="shared" si="1"/>
        <v>0.2464304347826087</v>
      </c>
      <c r="E32">
        <v>56679</v>
      </c>
      <c r="F32" s="8">
        <f t="shared" si="2"/>
        <v>0.24836396759547646</v>
      </c>
      <c r="H32">
        <f t="shared" si="3"/>
        <v>12.301382825334498</v>
      </c>
      <c r="I32">
        <f t="shared" si="4"/>
        <v>-1.4006755371639048</v>
      </c>
    </row>
    <row r="33" spans="2:14" x14ac:dyDescent="0.35">
      <c r="B33" s="45">
        <f t="shared" si="0"/>
        <v>230000</v>
      </c>
      <c r="C33" s="46">
        <f t="shared" si="6"/>
        <v>240000</v>
      </c>
      <c r="D33" s="8">
        <f t="shared" si="1"/>
        <v>0.2502875</v>
      </c>
      <c r="E33">
        <v>60069</v>
      </c>
      <c r="F33" s="8">
        <f t="shared" si="2"/>
        <v>0.2518873301677117</v>
      </c>
      <c r="H33">
        <f t="shared" si="3"/>
        <v>12.345834587905333</v>
      </c>
      <c r="I33">
        <f t="shared" si="4"/>
        <v>-1.3851450218633692</v>
      </c>
    </row>
    <row r="34" spans="2:14" x14ac:dyDescent="0.35">
      <c r="B34" s="45">
        <f t="shared" si="0"/>
        <v>240000</v>
      </c>
      <c r="C34" s="46">
        <f t="shared" si="6"/>
        <v>250000</v>
      </c>
      <c r="D34" s="8">
        <f t="shared" si="1"/>
        <v>0.25383600000000001</v>
      </c>
      <c r="E34">
        <v>63459</v>
      </c>
      <c r="F34" s="8">
        <f t="shared" si="2"/>
        <v>0.25525101255608246</v>
      </c>
      <c r="H34">
        <f t="shared" si="3"/>
        <v>12.388394202324129</v>
      </c>
      <c r="I34">
        <f t="shared" si="4"/>
        <v>-1.3710668897891234</v>
      </c>
    </row>
    <row r="35" spans="2:14" x14ac:dyDescent="0.35">
      <c r="B35" s="45">
        <f t="shared" si="0"/>
        <v>290000</v>
      </c>
      <c r="C35" s="46">
        <v>300000</v>
      </c>
      <c r="D35" s="8">
        <f t="shared" si="1"/>
        <v>0.26967999999999998</v>
      </c>
      <c r="E35">
        <v>80904</v>
      </c>
      <c r="F35" s="8">
        <f t="shared" si="2"/>
        <v>0.27005067598148624</v>
      </c>
      <c r="H35">
        <f t="shared" si="3"/>
        <v>12.577636201962656</v>
      </c>
      <c r="I35">
        <f t="shared" si="4"/>
        <v>-1.3105192080563319</v>
      </c>
    </row>
    <row r="36" spans="2:14" x14ac:dyDescent="0.35">
      <c r="B36" s="45">
        <f t="shared" si="0"/>
        <v>340000</v>
      </c>
      <c r="C36" s="46">
        <v>350000</v>
      </c>
      <c r="D36" s="8">
        <f t="shared" si="1"/>
        <v>0.28107142857142858</v>
      </c>
      <c r="E36">
        <v>98375</v>
      </c>
      <c r="F36" s="8">
        <f t="shared" si="2"/>
        <v>0.28221550205879958</v>
      </c>
      <c r="H36">
        <f t="shared" si="3"/>
        <v>12.736700896592344</v>
      </c>
      <c r="I36">
        <f t="shared" si="4"/>
        <v>-1.269146447745892</v>
      </c>
      <c r="L36">
        <f>-0.0598</f>
        <v>-5.9799999999999999E-2</v>
      </c>
      <c r="M36">
        <v>1.7907999999999999</v>
      </c>
      <c r="N36">
        <v>-14.372999999999999</v>
      </c>
    </row>
    <row r="37" spans="2:14" x14ac:dyDescent="0.35">
      <c r="B37" s="45">
        <f t="shared" si="0"/>
        <v>390000</v>
      </c>
      <c r="C37" s="46">
        <v>400000</v>
      </c>
      <c r="D37" s="8">
        <f t="shared" si="1"/>
        <v>0.28903000000000001</v>
      </c>
      <c r="E37">
        <v>115612</v>
      </c>
      <c r="F37" s="8">
        <f t="shared" si="2"/>
        <v>0.29243584033610159</v>
      </c>
      <c r="H37">
        <f t="shared" si="3"/>
        <v>12.873902018105829</v>
      </c>
      <c r="I37">
        <f t="shared" si="4"/>
        <v>-1.2412247900288249</v>
      </c>
    </row>
    <row r="38" spans="2:14" x14ac:dyDescent="0.35">
      <c r="B38" s="45">
        <f t="shared" si="0"/>
        <v>440000</v>
      </c>
      <c r="C38" s="46">
        <v>450000</v>
      </c>
      <c r="D38" s="8">
        <f t="shared" si="1"/>
        <v>0.30009111111111109</v>
      </c>
      <c r="E38">
        <v>135041</v>
      </c>
      <c r="F38" s="8">
        <f t="shared" si="2"/>
        <v>0.30116629013119506</v>
      </c>
      <c r="H38">
        <f t="shared" si="3"/>
        <v>12.994530005894443</v>
      </c>
      <c r="I38">
        <f t="shared" si="4"/>
        <v>-1.2036691467308669</v>
      </c>
    </row>
    <row r="39" spans="2:14" x14ac:dyDescent="0.35">
      <c r="B39" s="45">
        <f t="shared" si="0"/>
        <v>490000</v>
      </c>
      <c r="C39" s="46">
        <v>500000</v>
      </c>
      <c r="D39" s="8">
        <f t="shared" si="1"/>
        <v>0.31058200000000002</v>
      </c>
      <c r="E39">
        <v>155291</v>
      </c>
      <c r="F39" s="8">
        <f t="shared" si="2"/>
        <v>0.30872196318852274</v>
      </c>
      <c r="H39">
        <f t="shared" si="3"/>
        <v>13.102160670086809</v>
      </c>
      <c r="I39">
        <f t="shared" si="4"/>
        <v>-1.1693073222971424</v>
      </c>
    </row>
    <row r="40" spans="2:14" x14ac:dyDescent="0.35">
      <c r="B40" s="45">
        <f t="shared" si="0"/>
        <v>590000</v>
      </c>
      <c r="C40" s="46">
        <v>600000</v>
      </c>
      <c r="D40" s="8">
        <f t="shared" si="1"/>
        <v>0.32631833333333332</v>
      </c>
      <c r="E40">
        <v>195791</v>
      </c>
      <c r="F40" s="8">
        <f t="shared" si="2"/>
        <v>0.3211597298173724</v>
      </c>
      <c r="H40">
        <f t="shared" si="3"/>
        <v>13.287877815881902</v>
      </c>
      <c r="I40">
        <f t="shared" si="4"/>
        <v>-1.1198818914468562</v>
      </c>
    </row>
    <row r="41" spans="2:14" x14ac:dyDescent="0.35">
      <c r="B41" s="45">
        <f t="shared" si="0"/>
        <v>690000</v>
      </c>
      <c r="C41" s="46">
        <f>C40+100000</f>
        <v>700000</v>
      </c>
      <c r="D41" s="8">
        <f t="shared" si="1"/>
        <v>0.33755857142857143</v>
      </c>
      <c r="E41">
        <v>236291</v>
      </c>
      <c r="F41" s="8">
        <f t="shared" si="2"/>
        <v>0.33097149931884656</v>
      </c>
      <c r="H41">
        <f t="shared" si="3"/>
        <v>13.444446876573442</v>
      </c>
      <c r="I41">
        <f t="shared" si="4"/>
        <v>-1.0860162387531944</v>
      </c>
    </row>
    <row r="42" spans="2:14" x14ac:dyDescent="0.35">
      <c r="B42" s="45">
        <f t="shared" si="0"/>
        <v>790000</v>
      </c>
      <c r="C42" s="46">
        <f>C41+100000</f>
        <v>800000</v>
      </c>
      <c r="D42" s="8">
        <f t="shared" si="1"/>
        <v>0.34598875000000001</v>
      </c>
      <c r="E42">
        <v>276791</v>
      </c>
      <c r="F42" s="8">
        <f t="shared" si="2"/>
        <v>0.33889260836747642</v>
      </c>
      <c r="H42">
        <f t="shared" si="3"/>
        <v>13.579788224443204</v>
      </c>
      <c r="I42">
        <f t="shared" si="4"/>
        <v>-1.0613490189038861</v>
      </c>
    </row>
    <row r="43" spans="2:14" x14ac:dyDescent="0.35">
      <c r="B43" s="45">
        <f t="shared" si="0"/>
        <v>890000</v>
      </c>
      <c r="C43" s="46">
        <f>C42+100000</f>
        <v>900000</v>
      </c>
      <c r="D43" s="8">
        <f t="shared" si="1"/>
        <v>0.35254555555555556</v>
      </c>
      <c r="E43">
        <v>317291</v>
      </c>
      <c r="F43" s="8">
        <f t="shared" si="2"/>
        <v>0.34539800666189208</v>
      </c>
      <c r="H43">
        <f t="shared" si="3"/>
        <v>13.698976741708323</v>
      </c>
      <c r="I43">
        <f t="shared" si="4"/>
        <v>-1.0425754294614196</v>
      </c>
    </row>
    <row r="44" spans="2:14" x14ac:dyDescent="0.35">
      <c r="B44" s="45">
        <f t="shared" si="0"/>
        <v>990000</v>
      </c>
      <c r="C44" s="46">
        <f>C43+100000</f>
        <v>1000000</v>
      </c>
      <c r="D44" s="8">
        <f t="shared" si="1"/>
        <v>0.35779100000000003</v>
      </c>
      <c r="E44">
        <v>357791</v>
      </c>
      <c r="F44" s="8">
        <f t="shared" si="2"/>
        <v>0.35081102019445948</v>
      </c>
      <c r="H44">
        <f t="shared" si="3"/>
        <v>13.805460222110773</v>
      </c>
      <c r="I44">
        <f t="shared" si="4"/>
        <v>-1.0278062619410386</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0"/>
  <dimension ref="A1:S27"/>
  <sheetViews>
    <sheetView workbookViewId="0">
      <pane xSplit="10" ySplit="3" topLeftCell="K16" activePane="bottomRight" state="frozen"/>
      <selection pane="topRight" activeCell="K1" sqref="K1"/>
      <selection pane="bottomLeft" activeCell="A4" sqref="A4"/>
      <selection pane="bottomRight" activeCell="J27" sqref="J27"/>
    </sheetView>
  </sheetViews>
  <sheetFormatPr defaultRowHeight="14.5" x14ac:dyDescent="0.35"/>
  <cols>
    <col min="1" max="1" width="11.1796875" style="131" customWidth="1"/>
    <col min="2" max="2" width="10.54296875" style="5" bestFit="1" customWidth="1"/>
    <col min="3" max="3" width="11.1796875" style="133" bestFit="1" customWidth="1"/>
    <col min="4" max="4" width="14.54296875" style="5" bestFit="1" customWidth="1"/>
    <col min="5" max="5" width="14.54296875" style="49" customWidth="1"/>
    <col min="6" max="6" width="21.36328125" style="119" customWidth="1"/>
    <col min="7" max="7" width="9.81640625" style="223" customWidth="1"/>
    <col min="8" max="8" width="18.1796875" style="5" customWidth="1"/>
    <col min="9" max="9" width="18.1796875" style="74" customWidth="1"/>
    <col min="10" max="10" width="12.7265625" bestFit="1" customWidth="1"/>
    <col min="11" max="11" width="10.453125" style="118" bestFit="1" customWidth="1"/>
    <col min="12" max="12" width="17.7265625" style="5" bestFit="1" customWidth="1"/>
    <col min="13" max="13" width="18.54296875" style="74" bestFit="1" customWidth="1"/>
    <col min="14" max="14" width="18.54296875" style="74" customWidth="1"/>
    <col min="15" max="15" width="18.54296875" style="6" customWidth="1"/>
    <col min="16" max="16" width="19.54296875" style="8" bestFit="1" customWidth="1"/>
    <col min="17" max="17" width="19.54296875" style="8" customWidth="1"/>
    <col min="18" max="18" width="10.54296875" bestFit="1" customWidth="1"/>
  </cols>
  <sheetData>
    <row r="1" spans="1:19" x14ac:dyDescent="0.35">
      <c r="O1" s="6">
        <f>O15/47.5*4</f>
        <v>4.8631578947368422E-2</v>
      </c>
    </row>
    <row r="2" spans="1:19" x14ac:dyDescent="0.35">
      <c r="A2" s="131" t="s">
        <v>357</v>
      </c>
      <c r="H2" s="74">
        <f>M2+I2</f>
        <v>575308.25</v>
      </c>
      <c r="I2" s="74">
        <f>SUM(I4:I29)</f>
        <v>-13922.250000000004</v>
      </c>
      <c r="M2" s="74">
        <f>SUM(M4:M29)</f>
        <v>589230.5</v>
      </c>
      <c r="P2" s="8" t="s">
        <v>433</v>
      </c>
      <c r="Q2" s="8" t="s">
        <v>434</v>
      </c>
    </row>
    <row r="3" spans="1:19" x14ac:dyDescent="0.35">
      <c r="A3" s="131" t="s">
        <v>4</v>
      </c>
      <c r="B3" s="5" t="s">
        <v>358</v>
      </c>
      <c r="C3" s="133" t="s">
        <v>360</v>
      </c>
      <c r="D3" s="5" t="s">
        <v>359</v>
      </c>
      <c r="E3" s="49" t="s">
        <v>388</v>
      </c>
      <c r="F3" s="119" t="s">
        <v>411</v>
      </c>
      <c r="G3" s="223" t="s">
        <v>396</v>
      </c>
      <c r="H3" s="5" t="s">
        <v>351</v>
      </c>
      <c r="I3" s="74" t="s">
        <v>352</v>
      </c>
      <c r="J3" t="s">
        <v>11</v>
      </c>
      <c r="K3" s="118" t="s">
        <v>345</v>
      </c>
      <c r="L3" s="5" t="s">
        <v>347</v>
      </c>
      <c r="M3" s="74" t="s">
        <v>348</v>
      </c>
      <c r="N3" s="74" t="s">
        <v>350</v>
      </c>
      <c r="O3" s="6" t="s">
        <v>412</v>
      </c>
      <c r="P3" s="8" t="s">
        <v>349</v>
      </c>
      <c r="Q3" s="8" t="s">
        <v>349</v>
      </c>
      <c r="R3" t="s">
        <v>104</v>
      </c>
    </row>
    <row r="4" spans="1:19" x14ac:dyDescent="0.35">
      <c r="A4" s="131">
        <v>400</v>
      </c>
      <c r="B4" s="5">
        <v>3.5</v>
      </c>
      <c r="C4" s="133">
        <f>A4*B4</f>
        <v>1400</v>
      </c>
      <c r="D4" s="5">
        <f>(M4+C4)/(A4+K4)</f>
        <v>5.4270000000000005</v>
      </c>
      <c r="E4" s="49">
        <f>(L4-B4)/L4</f>
        <v>0.56229938721914208</v>
      </c>
      <c r="F4" s="8">
        <f>M4/$M$2</f>
        <v>4.0712420691053838E-3</v>
      </c>
      <c r="G4" s="8">
        <f>IF(K4=0,0,(H4-L4)/L4)</f>
        <v>-8.7081579057067843E-2</v>
      </c>
      <c r="H4" s="5">
        <v>7.3</v>
      </c>
      <c r="I4" s="74">
        <f>IF(K4=0,0,(H4-L4)*K4)</f>
        <v>-208.90000000000003</v>
      </c>
      <c r="J4" t="s">
        <v>180</v>
      </c>
      <c r="K4" s="118">
        <v>300</v>
      </c>
      <c r="L4" s="5">
        <f>IF(K4=0,0,M4/K4)</f>
        <v>7.9963333333333333</v>
      </c>
      <c r="M4" s="74">
        <f>(2.5*400+100*3)+(4.27*70) -8*100+8*200</f>
        <v>2398.9</v>
      </c>
      <c r="N4" s="74">
        <f>7*2</f>
        <v>14</v>
      </c>
      <c r="O4" s="6">
        <v>0</v>
      </c>
      <c r="P4" s="8">
        <f>$O4*4/L4</f>
        <v>0</v>
      </c>
      <c r="Q4" s="8">
        <f>$O4*4/H4</f>
        <v>0</v>
      </c>
    </row>
    <row r="5" spans="1:19" x14ac:dyDescent="0.35">
      <c r="F5" s="8">
        <f t="shared" ref="F5:F10" si="0">M5/$M$2</f>
        <v>0.18821938104018718</v>
      </c>
      <c r="G5" s="8">
        <f t="shared" ref="G5:G24" si="1">IF(K5=0,0,(H5-L5)/L5)</f>
        <v>8.2011025692351788E-2</v>
      </c>
      <c r="H5" s="5">
        <f>(120*1000)/1000</f>
        <v>120</v>
      </c>
      <c r="I5" s="74">
        <f t="shared" ref="I5:I27" si="2">IF(K5=0,0,(H5-L5)*K5)</f>
        <v>9095.3999999999978</v>
      </c>
      <c r="J5" t="s">
        <v>1</v>
      </c>
      <c r="K5" s="118">
        <v>1000</v>
      </c>
      <c r="L5" s="5">
        <f t="shared" ref="L5:L24" si="3">IF(K5=0,0,M5/K5)</f>
        <v>110.9046</v>
      </c>
      <c r="M5" s="74">
        <f>(62.48*140 + 94.34*110 + 121.95*500 + 122*100 + 115*100 + 108.45*100 + 116*400 + 98*50 +115*100)-110.9*500-110.9*100</f>
        <v>110904.6</v>
      </c>
      <c r="N5" s="74">
        <f>7*3</f>
        <v>21</v>
      </c>
      <c r="O5" s="6">
        <v>0.63</v>
      </c>
      <c r="P5" s="8">
        <f t="shared" ref="P5:P13" si="4">O5*4/L5</f>
        <v>2.2722231539539388E-2</v>
      </c>
      <c r="Q5" s="8">
        <f t="shared" ref="Q5:Q10" si="5">$O5*4/H5</f>
        <v>2.1000000000000001E-2</v>
      </c>
      <c r="S5" s="74">
        <f>(M5-30*125)/1600</f>
        <v>66.971625000000003</v>
      </c>
    </row>
    <row r="6" spans="1:19" x14ac:dyDescent="0.35">
      <c r="F6" s="8">
        <f t="shared" si="0"/>
        <v>2.1331210791023208E-2</v>
      </c>
      <c r="G6" s="8">
        <f t="shared" si="1"/>
        <v>-0.35953536478637921</v>
      </c>
      <c r="H6" s="5">
        <v>5.75</v>
      </c>
      <c r="I6" s="74">
        <f t="shared" si="2"/>
        <v>-4519.0000000000009</v>
      </c>
      <c r="J6" t="s">
        <v>86</v>
      </c>
      <c r="K6" s="118">
        <v>1400</v>
      </c>
      <c r="L6" s="5">
        <f t="shared" si="3"/>
        <v>8.9778571428571432</v>
      </c>
      <c r="M6" s="119">
        <f>(8.48*600 + 9.87*200 + 10.5*100 + 11.25*100 + 8.33*400)</f>
        <v>12569</v>
      </c>
      <c r="N6" s="119">
        <f>7*4</f>
        <v>28</v>
      </c>
      <c r="O6" s="6">
        <f>0.09694/4*0.7</f>
        <v>1.6964499999999997E-2</v>
      </c>
      <c r="P6" s="8">
        <f t="shared" si="4"/>
        <v>7.5583737767523258E-3</v>
      </c>
      <c r="Q6" s="8">
        <f t="shared" si="5"/>
        <v>1.1801391304347824E-2</v>
      </c>
    </row>
    <row r="7" spans="1:19" x14ac:dyDescent="0.35">
      <c r="A7" s="257">
        <v>200</v>
      </c>
      <c r="B7" s="5">
        <v>35</v>
      </c>
      <c r="C7" s="133">
        <f>A7*B7</f>
        <v>7000</v>
      </c>
      <c r="D7" s="5">
        <f>(M7+C7)/(A7+K7)</f>
        <v>36</v>
      </c>
      <c r="E7" s="49">
        <f>(L7-B7)/L7</f>
        <v>3.6697247706422083E-2</v>
      </c>
      <c r="F7" s="8">
        <f t="shared" si="0"/>
        <v>3.6997405938762502E-2</v>
      </c>
      <c r="G7" s="8">
        <f t="shared" si="1"/>
        <v>4.5871559633027456E-2</v>
      </c>
      <c r="H7" s="5">
        <v>38</v>
      </c>
      <c r="I7" s="74">
        <f t="shared" si="2"/>
        <v>999.99999999999864</v>
      </c>
      <c r="J7" t="s">
        <v>33</v>
      </c>
      <c r="K7" s="118">
        <v>600</v>
      </c>
      <c r="L7" s="5">
        <f t="shared" si="3"/>
        <v>36.333333333333336</v>
      </c>
      <c r="M7" s="74">
        <f>(35.5 *800 + 35.5*600)-(35.5*1000)+(38*100)+(38*100)</f>
        <v>21800</v>
      </c>
      <c r="N7" s="74">
        <v>17</v>
      </c>
      <c r="O7" s="6">
        <v>0.49</v>
      </c>
      <c r="P7" s="8">
        <f t="shared" si="4"/>
        <v>5.3944954128440366E-2</v>
      </c>
      <c r="Q7" s="8">
        <f t="shared" si="5"/>
        <v>5.1578947368421051E-2</v>
      </c>
    </row>
    <row r="8" spans="1:19" x14ac:dyDescent="0.35">
      <c r="F8" s="8">
        <f t="shared" si="0"/>
        <v>9.7754613856546796E-2</v>
      </c>
      <c r="G8" s="8">
        <f t="shared" si="1"/>
        <v>-0.16666666666666666</v>
      </c>
      <c r="H8" s="5">
        <v>10</v>
      </c>
      <c r="I8" s="74">
        <f t="shared" si="2"/>
        <v>-9600</v>
      </c>
      <c r="J8" t="s">
        <v>72</v>
      </c>
      <c r="K8" s="118">
        <v>4800</v>
      </c>
      <c r="L8" s="5">
        <f t="shared" si="3"/>
        <v>12</v>
      </c>
      <c r="M8" s="74">
        <f>(12*300 +12*1700 + 12*2800)</f>
        <v>57600</v>
      </c>
      <c r="N8" s="74">
        <f>17*2</f>
        <v>34</v>
      </c>
      <c r="O8" s="6">
        <v>0</v>
      </c>
      <c r="P8" s="8">
        <f t="shared" si="4"/>
        <v>0</v>
      </c>
      <c r="Q8" s="8">
        <f t="shared" si="5"/>
        <v>0</v>
      </c>
    </row>
    <row r="9" spans="1:19" x14ac:dyDescent="0.35">
      <c r="F9" s="8">
        <f t="shared" si="0"/>
        <v>8.6553564352150808E-2</v>
      </c>
      <c r="G9" s="8">
        <f t="shared" si="1"/>
        <v>0.13725490196078433</v>
      </c>
      <c r="H9" s="5">
        <v>580</v>
      </c>
      <c r="I9" s="74">
        <f t="shared" si="2"/>
        <v>7000</v>
      </c>
      <c r="J9" t="s">
        <v>87</v>
      </c>
      <c r="K9" s="118">
        <v>100</v>
      </c>
      <c r="L9" s="5">
        <f t="shared" si="3"/>
        <v>510</v>
      </c>
      <c r="M9" s="74">
        <f>(510*100)</f>
        <v>51000</v>
      </c>
      <c r="N9" s="74">
        <v>7</v>
      </c>
      <c r="O9" s="6">
        <v>0</v>
      </c>
      <c r="P9" s="8">
        <f t="shared" si="4"/>
        <v>0</v>
      </c>
      <c r="Q9" s="8">
        <f t="shared" si="5"/>
        <v>0</v>
      </c>
    </row>
    <row r="10" spans="1:19" x14ac:dyDescent="0.35">
      <c r="F10" s="8">
        <f t="shared" si="0"/>
        <v>1.6448571484334228E-2</v>
      </c>
      <c r="G10" s="8">
        <f t="shared" si="1"/>
        <v>1.8373916632274041</v>
      </c>
      <c r="H10" s="5">
        <v>55</v>
      </c>
      <c r="I10" s="74">
        <f t="shared" si="2"/>
        <v>17808</v>
      </c>
      <c r="J10" t="s">
        <v>93</v>
      </c>
      <c r="K10" s="118">
        <v>500</v>
      </c>
      <c r="L10" s="5">
        <f t="shared" si="3"/>
        <v>19.384</v>
      </c>
      <c r="M10" s="119">
        <f>(44.96*200+14*50)</f>
        <v>9692</v>
      </c>
      <c r="N10" s="119">
        <f>7*2</f>
        <v>14</v>
      </c>
      <c r="O10" s="6">
        <v>0.25</v>
      </c>
      <c r="P10" s="8">
        <f t="shared" si="4"/>
        <v>5.1588939331407346E-2</v>
      </c>
      <c r="Q10" s="8">
        <f t="shared" si="5"/>
        <v>1.8181818181818181E-2</v>
      </c>
    </row>
    <row r="11" spans="1:19" x14ac:dyDescent="0.35">
      <c r="A11" s="149"/>
      <c r="F11" s="8">
        <f t="shared" ref="F11:F23" si="6">M11/$M$2</f>
        <v>2.540601683042544E-2</v>
      </c>
      <c r="G11" s="8">
        <f t="shared" si="1"/>
        <v>5.2104208416833747E-2</v>
      </c>
      <c r="H11" s="5">
        <f>(77.5+80)/2</f>
        <v>78.75</v>
      </c>
      <c r="I11" s="74">
        <f t="shared" si="2"/>
        <v>780.00000000000114</v>
      </c>
      <c r="J11" t="s">
        <v>370</v>
      </c>
      <c r="K11" s="118">
        <v>200</v>
      </c>
      <c r="L11" s="5">
        <f t="shared" si="3"/>
        <v>74.849999999999994</v>
      </c>
      <c r="M11" s="74">
        <f>(74.85*200)</f>
        <v>14969.999999999998</v>
      </c>
      <c r="N11" s="74">
        <v>5</v>
      </c>
      <c r="O11" s="6">
        <v>0</v>
      </c>
      <c r="P11" s="8">
        <f>O11*4/L11</f>
        <v>0</v>
      </c>
      <c r="Q11" s="8">
        <f t="shared" ref="Q11:Q23" si="7">$O11*4/H11</f>
        <v>0</v>
      </c>
    </row>
    <row r="12" spans="1:19" x14ac:dyDescent="0.35">
      <c r="F12" s="8">
        <f t="shared" si="6"/>
        <v>2.2062673266234522E-2</v>
      </c>
      <c r="G12" s="8">
        <f t="shared" si="1"/>
        <v>-9.6153846153846159E-2</v>
      </c>
      <c r="H12" s="5">
        <v>23.5</v>
      </c>
      <c r="I12" s="74">
        <f t="shared" si="2"/>
        <v>-1250</v>
      </c>
      <c r="J12" t="s">
        <v>366</v>
      </c>
      <c r="K12" s="118">
        <v>500</v>
      </c>
      <c r="L12" s="5">
        <f t="shared" si="3"/>
        <v>26</v>
      </c>
      <c r="M12" s="74">
        <f>26*500</f>
        <v>13000</v>
      </c>
      <c r="N12" s="74">
        <v>0</v>
      </c>
      <c r="O12" s="6">
        <v>0</v>
      </c>
      <c r="P12" s="8">
        <f t="shared" si="4"/>
        <v>0</v>
      </c>
      <c r="Q12" s="8">
        <f t="shared" si="7"/>
        <v>0</v>
      </c>
    </row>
    <row r="13" spans="1:19" x14ac:dyDescent="0.35">
      <c r="A13" s="179">
        <v>400</v>
      </c>
      <c r="B13" s="5">
        <v>106</v>
      </c>
      <c r="C13" s="133">
        <f>A13*B13</f>
        <v>42400</v>
      </c>
      <c r="D13" s="5">
        <f>(M13+C13)/(A13+K13)</f>
        <v>115</v>
      </c>
      <c r="E13" s="49">
        <f>(L13-B13)/L13</f>
        <v>0.14516129032258066</v>
      </c>
      <c r="F13" s="8">
        <f t="shared" si="6"/>
        <v>8.4177584154248641E-2</v>
      </c>
      <c r="G13" s="8">
        <f t="shared" si="1"/>
        <v>4.8387096774193547E-2</v>
      </c>
      <c r="H13" s="5">
        <v>130</v>
      </c>
      <c r="I13" s="74">
        <f t="shared" si="2"/>
        <v>2400</v>
      </c>
      <c r="J13" t="s">
        <v>355</v>
      </c>
      <c r="K13" s="118">
        <v>400</v>
      </c>
      <c r="L13" s="5">
        <f t="shared" si="3"/>
        <v>124</v>
      </c>
      <c r="M13" s="74">
        <f>124*400</f>
        <v>49600</v>
      </c>
      <c r="N13" s="74">
        <v>0</v>
      </c>
      <c r="O13" s="6">
        <v>0</v>
      </c>
      <c r="P13" s="8">
        <f t="shared" si="4"/>
        <v>0</v>
      </c>
      <c r="Q13" s="8">
        <f t="shared" si="7"/>
        <v>0</v>
      </c>
    </row>
    <row r="14" spans="1:19" x14ac:dyDescent="0.35">
      <c r="F14" s="8">
        <f t="shared" si="6"/>
        <v>3.971281187922214E-2</v>
      </c>
      <c r="G14" s="8">
        <f t="shared" si="1"/>
        <v>-0.84188034188034189</v>
      </c>
      <c r="H14" s="5">
        <v>37</v>
      </c>
      <c r="I14" s="74">
        <f t="shared" si="2"/>
        <v>-19700</v>
      </c>
      <c r="J14" t="s">
        <v>91</v>
      </c>
      <c r="K14" s="118">
        <v>100</v>
      </c>
      <c r="L14" s="5">
        <f t="shared" si="3"/>
        <v>234</v>
      </c>
      <c r="M14" s="74">
        <f>(25*1000 + 24.7*200)-300*99.8+200*75+200*42</f>
        <v>23400</v>
      </c>
      <c r="N14" s="74">
        <v>0</v>
      </c>
      <c r="O14" s="6">
        <v>0</v>
      </c>
      <c r="P14" s="8">
        <f t="shared" ref="P14:P20" si="8">O14*4/L14</f>
        <v>0</v>
      </c>
      <c r="Q14" s="8">
        <f t="shared" si="7"/>
        <v>0</v>
      </c>
    </row>
    <row r="15" spans="1:19" x14ac:dyDescent="0.35">
      <c r="A15" s="131">
        <v>200</v>
      </c>
      <c r="B15" s="5">
        <v>45</v>
      </c>
      <c r="C15" s="133">
        <f>A15*B15</f>
        <v>9000</v>
      </c>
      <c r="D15" s="5">
        <f>(M15+C15)/(A15+K15)</f>
        <v>47.5</v>
      </c>
      <c r="E15" s="49">
        <f>(L15-B15)/L15</f>
        <v>6.4935064935064929E-2</v>
      </c>
      <c r="F15" s="8">
        <f t="shared" si="6"/>
        <v>6.5339455442309929E-2</v>
      </c>
      <c r="G15" s="8">
        <f t="shared" si="1"/>
        <v>1.8181818181818181E-2</v>
      </c>
      <c r="H15" s="5">
        <v>49</v>
      </c>
      <c r="I15" s="74">
        <f t="shared" si="2"/>
        <v>700</v>
      </c>
      <c r="J15" t="s">
        <v>338</v>
      </c>
      <c r="K15" s="118">
        <v>800</v>
      </c>
      <c r="L15" s="5">
        <f t="shared" si="3"/>
        <v>48.125</v>
      </c>
      <c r="M15" s="74">
        <f>(48*400+49.5*200)+(47*200)</f>
        <v>38500</v>
      </c>
      <c r="N15" s="74">
        <v>0</v>
      </c>
      <c r="O15" s="6">
        <v>0.57750000000000001</v>
      </c>
      <c r="P15" s="8">
        <f t="shared" si="8"/>
        <v>4.8000000000000001E-2</v>
      </c>
      <c r="Q15" s="8">
        <f t="shared" si="7"/>
        <v>4.7142857142857146E-2</v>
      </c>
    </row>
    <row r="16" spans="1:19" x14ac:dyDescent="0.35">
      <c r="F16" s="8">
        <f t="shared" si="6"/>
        <v>8.0201211580188059E-2</v>
      </c>
      <c r="G16" s="8">
        <f t="shared" si="1"/>
        <v>-0.17857142857142858</v>
      </c>
      <c r="H16" s="5">
        <v>5.75</v>
      </c>
      <c r="I16" s="74">
        <f t="shared" si="2"/>
        <v>-8438.75</v>
      </c>
      <c r="J16" t="s">
        <v>86</v>
      </c>
      <c r="K16" s="199">
        <v>6751</v>
      </c>
      <c r="L16" s="5">
        <f t="shared" si="3"/>
        <v>7</v>
      </c>
      <c r="M16" s="199">
        <f>(6751*7)</f>
        <v>47257</v>
      </c>
      <c r="N16" s="199">
        <v>0</v>
      </c>
      <c r="O16" s="6">
        <f>0.09694/4*0.7</f>
        <v>1.6964499999999997E-2</v>
      </c>
      <c r="P16" s="8">
        <f t="shared" si="8"/>
        <v>9.6939999999999978E-3</v>
      </c>
      <c r="Q16" s="8">
        <f t="shared" si="7"/>
        <v>1.1801391304347824E-2</v>
      </c>
    </row>
    <row r="17" spans="1:17" x14ac:dyDescent="0.35">
      <c r="A17" s="131">
        <v>200</v>
      </c>
      <c r="B17" s="5">
        <v>15.5</v>
      </c>
      <c r="C17" s="133">
        <f>A17*B17</f>
        <v>3100</v>
      </c>
      <c r="D17" s="5">
        <f>(M17+C17)/(A17+K17)</f>
        <v>18</v>
      </c>
      <c r="E17" s="49">
        <f>(L17-B17)/L17</f>
        <v>0.24390243902439024</v>
      </c>
      <c r="F17" s="8">
        <f t="shared" si="6"/>
        <v>6.9582277224278103E-3</v>
      </c>
      <c r="G17" s="8">
        <f t="shared" si="1"/>
        <v>-0.14634146341463414</v>
      </c>
      <c r="H17" s="5">
        <v>17.5</v>
      </c>
      <c r="I17" s="74">
        <f t="shared" si="2"/>
        <v>-600</v>
      </c>
      <c r="J17" t="s">
        <v>374</v>
      </c>
      <c r="K17" s="118">
        <v>200</v>
      </c>
      <c r="L17" s="5">
        <f t="shared" si="3"/>
        <v>20.5</v>
      </c>
      <c r="M17" s="74">
        <f>(200*17+300*18.5+500*14.7)*0+20.5*200</f>
        <v>4100</v>
      </c>
      <c r="N17" s="201">
        <v>0</v>
      </c>
      <c r="O17" s="6">
        <v>0</v>
      </c>
      <c r="P17" s="8">
        <f t="shared" si="8"/>
        <v>0</v>
      </c>
      <c r="Q17" s="8">
        <f t="shared" si="7"/>
        <v>0</v>
      </c>
    </row>
    <row r="18" spans="1:17" x14ac:dyDescent="0.35">
      <c r="A18" s="204">
        <v>100</v>
      </c>
      <c r="B18" s="5">
        <v>110</v>
      </c>
      <c r="C18" s="133">
        <f>A18*B18</f>
        <v>11000</v>
      </c>
      <c r="D18" s="5">
        <f>(M18+C18)/(A18+K18)</f>
        <v>119.45</v>
      </c>
      <c r="E18" s="49">
        <f>(L18-B18)/L18</f>
        <v>0.11415341252264946</v>
      </c>
      <c r="F18" s="8">
        <f t="shared" si="6"/>
        <v>4.2148191582071871E-2</v>
      </c>
      <c r="G18" s="8">
        <f t="shared" si="1"/>
        <v>8.717535735856656E-2</v>
      </c>
      <c r="H18" s="5">
        <v>135</v>
      </c>
      <c r="I18" s="74">
        <f t="shared" si="2"/>
        <v>2165.0000000000005</v>
      </c>
      <c r="J18" t="s">
        <v>389</v>
      </c>
      <c r="K18" s="118">
        <v>200</v>
      </c>
      <c r="L18" s="5">
        <f t="shared" si="3"/>
        <v>124.175</v>
      </c>
      <c r="M18" s="74">
        <f>140*100+108.35*100</f>
        <v>24835</v>
      </c>
      <c r="N18" s="74">
        <v>0</v>
      </c>
      <c r="O18" s="6">
        <v>0</v>
      </c>
      <c r="P18" s="8">
        <f t="shared" si="8"/>
        <v>0</v>
      </c>
      <c r="Q18" s="8">
        <f t="shared" si="7"/>
        <v>0</v>
      </c>
    </row>
    <row r="19" spans="1:17" x14ac:dyDescent="0.35">
      <c r="A19" s="131">
        <v>400</v>
      </c>
      <c r="B19" s="5">
        <v>21.5</v>
      </c>
      <c r="C19" s="133">
        <f>A19*B19</f>
        <v>8600</v>
      </c>
      <c r="D19" s="5">
        <f>(M19+C19)/(A19+K19)</f>
        <v>23.2</v>
      </c>
      <c r="E19" s="49">
        <f>(L19-B19)/L19</f>
        <v>0.11643835616438351</v>
      </c>
      <c r="F19" s="8">
        <f t="shared" si="6"/>
        <v>2.4778079206694153E-2</v>
      </c>
      <c r="G19" s="8">
        <f t="shared" si="1"/>
        <v>-0.17808219178082188</v>
      </c>
      <c r="H19" s="5">
        <v>20</v>
      </c>
      <c r="I19" s="74">
        <f t="shared" si="2"/>
        <v>-2599.9999999999991</v>
      </c>
      <c r="J19" t="s">
        <v>181</v>
      </c>
      <c r="K19" s="118">
        <v>600</v>
      </c>
      <c r="L19" s="5">
        <f t="shared" si="3"/>
        <v>24.333333333333332</v>
      </c>
      <c r="M19" s="74">
        <f>100*30+300*24+200*22</f>
        <v>14600</v>
      </c>
      <c r="N19" s="74">
        <v>0</v>
      </c>
      <c r="O19" s="6">
        <v>0.54</v>
      </c>
      <c r="P19" s="8">
        <f t="shared" si="8"/>
        <v>8.8767123287671237E-2</v>
      </c>
      <c r="Q19" s="8">
        <f t="shared" si="7"/>
        <v>0.10800000000000001</v>
      </c>
    </row>
    <row r="20" spans="1:17" x14ac:dyDescent="0.35">
      <c r="A20" s="131">
        <v>500</v>
      </c>
      <c r="B20" s="5">
        <v>20</v>
      </c>
      <c r="C20" s="133">
        <f>A20*B20</f>
        <v>10000</v>
      </c>
      <c r="D20" s="5">
        <f>(M20+C20)/(A20+K20)</f>
        <v>25.907333333333334</v>
      </c>
      <c r="E20" s="49">
        <f>(L20-B20)/L20</f>
        <v>0.30702331866532695</v>
      </c>
      <c r="F20" s="8">
        <f t="shared" si="6"/>
        <v>4.8980831779753424E-2</v>
      </c>
      <c r="G20" s="8">
        <f t="shared" si="1"/>
        <v>-0.30702331866532695</v>
      </c>
      <c r="H20" s="5">
        <v>20</v>
      </c>
      <c r="I20" s="74">
        <f t="shared" si="2"/>
        <v>-8861</v>
      </c>
      <c r="J20" t="s">
        <v>373</v>
      </c>
      <c r="K20" s="118">
        <v>1000</v>
      </c>
      <c r="L20" s="5">
        <f t="shared" si="3"/>
        <v>28.861000000000001</v>
      </c>
      <c r="M20" s="74">
        <f>32*300+21.87*300+32.5*200+31*200</f>
        <v>28861</v>
      </c>
      <c r="N20" s="74">
        <v>0</v>
      </c>
      <c r="O20" s="6">
        <f>0.12</f>
        <v>0.12</v>
      </c>
      <c r="P20" s="8">
        <f t="shared" si="8"/>
        <v>1.6631440352032154E-2</v>
      </c>
      <c r="Q20" s="8">
        <f t="shared" si="7"/>
        <v>2.4E-2</v>
      </c>
    </row>
    <row r="21" spans="1:17" x14ac:dyDescent="0.35">
      <c r="F21" s="8">
        <f t="shared" si="6"/>
        <v>1.0454312870769589E-3</v>
      </c>
      <c r="G21" s="8">
        <f t="shared" si="1"/>
        <v>-2.5974025974025997E-2</v>
      </c>
      <c r="H21" s="5">
        <v>6</v>
      </c>
      <c r="I21" s="74">
        <f t="shared" si="2"/>
        <v>-16.000000000000014</v>
      </c>
      <c r="J21" t="s">
        <v>436</v>
      </c>
      <c r="K21" s="118">
        <v>100</v>
      </c>
      <c r="L21" s="5">
        <f t="shared" si="3"/>
        <v>6.16</v>
      </c>
      <c r="M21" s="74">
        <f>(6.16*100)</f>
        <v>616</v>
      </c>
      <c r="N21" s="74">
        <v>0</v>
      </c>
      <c r="O21" s="6">
        <v>0</v>
      </c>
      <c r="P21" s="8">
        <f t="shared" ref="P21:P26" si="9">O21*4/L21</f>
        <v>0</v>
      </c>
      <c r="Q21" s="8">
        <f t="shared" si="7"/>
        <v>0</v>
      </c>
    </row>
    <row r="22" spans="1:17" x14ac:dyDescent="0.35">
      <c r="A22" s="131">
        <v>200</v>
      </c>
      <c r="B22" s="5">
        <v>31</v>
      </c>
      <c r="C22" s="133">
        <f>A22*B22</f>
        <v>6200</v>
      </c>
      <c r="D22" s="5">
        <f>(M22+C22)/(A22+K22)</f>
        <v>32</v>
      </c>
      <c r="E22" s="49">
        <f>(L22-B22)/L22</f>
        <v>6.0606060606060608E-2</v>
      </c>
      <c r="F22" s="8">
        <f t="shared" si="6"/>
        <v>1.1201049504395988E-2</v>
      </c>
      <c r="G22" s="8">
        <f t="shared" si="1"/>
        <v>0</v>
      </c>
      <c r="H22" s="5">
        <v>33</v>
      </c>
      <c r="I22" s="74">
        <f t="shared" si="2"/>
        <v>0</v>
      </c>
      <c r="J22" t="s">
        <v>385</v>
      </c>
      <c r="K22" s="118">
        <v>200</v>
      </c>
      <c r="L22" s="5">
        <f t="shared" si="3"/>
        <v>33</v>
      </c>
      <c r="M22" s="74">
        <f>(33*100)+(33*100)</f>
        <v>6600</v>
      </c>
      <c r="N22" s="74">
        <v>0</v>
      </c>
      <c r="O22" s="6">
        <v>0.28999999999999998</v>
      </c>
      <c r="P22" s="8">
        <f t="shared" si="9"/>
        <v>3.5151515151515149E-2</v>
      </c>
      <c r="Q22" s="8">
        <f t="shared" si="7"/>
        <v>3.5151515151515149E-2</v>
      </c>
    </row>
    <row r="23" spans="1:17" x14ac:dyDescent="0.35">
      <c r="A23" s="236">
        <v>100</v>
      </c>
      <c r="B23" s="5">
        <v>91</v>
      </c>
      <c r="C23" s="133">
        <f>A23*B23</f>
        <v>9100</v>
      </c>
      <c r="D23" s="5">
        <f>(M23+C23)/(A23+K23)</f>
        <v>92.942499999999995</v>
      </c>
      <c r="E23" s="49">
        <f>(L23-B23)/L23</f>
        <v>2.7673896783844465E-2</v>
      </c>
      <c r="F23" s="8">
        <f t="shared" si="6"/>
        <v>4.7650282868928202E-2</v>
      </c>
      <c r="G23" s="8">
        <f t="shared" si="1"/>
        <v>0.13794208782989631</v>
      </c>
      <c r="H23" s="5">
        <v>106.5</v>
      </c>
      <c r="I23" s="74">
        <f t="shared" si="2"/>
        <v>3872.9999999999991</v>
      </c>
      <c r="J23" t="s">
        <v>438</v>
      </c>
      <c r="K23" s="118">
        <v>300</v>
      </c>
      <c r="L23" s="5">
        <f t="shared" si="3"/>
        <v>93.59</v>
      </c>
      <c r="M23" s="74">
        <f>(100*96.77)+(200*92)</f>
        <v>28077</v>
      </c>
      <c r="N23" s="74">
        <v>0</v>
      </c>
      <c r="O23" s="6">
        <v>0</v>
      </c>
      <c r="P23" s="8">
        <f t="shared" si="9"/>
        <v>0</v>
      </c>
      <c r="Q23" s="8">
        <f t="shared" si="7"/>
        <v>0</v>
      </c>
    </row>
    <row r="24" spans="1:17" x14ac:dyDescent="0.35">
      <c r="F24" s="8">
        <f>M24/$M$2</f>
        <v>1.6886430692233344E-2</v>
      </c>
      <c r="G24" s="8">
        <f t="shared" si="1"/>
        <v>3.5175879396984924E-2</v>
      </c>
      <c r="H24" s="5">
        <v>103</v>
      </c>
      <c r="I24" s="74">
        <f t="shared" si="2"/>
        <v>350</v>
      </c>
      <c r="J24" t="s">
        <v>629</v>
      </c>
      <c r="K24" s="243">
        <v>100</v>
      </c>
      <c r="L24" s="5">
        <f t="shared" si="3"/>
        <v>99.5</v>
      </c>
      <c r="M24" s="74">
        <f>(100*99.5)</f>
        <v>9950</v>
      </c>
      <c r="N24" s="74">
        <v>0</v>
      </c>
      <c r="O24" s="6">
        <v>0.4</v>
      </c>
      <c r="P24" s="8">
        <f t="shared" si="9"/>
        <v>1.6080402010050253E-2</v>
      </c>
      <c r="Q24" s="8">
        <f>$O24*4/H24</f>
        <v>1.5533980582524273E-2</v>
      </c>
    </row>
    <row r="25" spans="1:17" x14ac:dyDescent="0.35">
      <c r="A25" s="264">
        <v>100</v>
      </c>
      <c r="B25" s="5">
        <v>51</v>
      </c>
      <c r="C25" s="133">
        <f>A25*B25</f>
        <v>5100</v>
      </c>
      <c r="D25" s="5">
        <f>(M25+C25)/(A25+K25)</f>
        <v>57.5</v>
      </c>
      <c r="E25" s="49">
        <f>(L25-B25)/L25</f>
        <v>0.203125</v>
      </c>
      <c r="F25" s="8">
        <f>M25/$M$2</f>
        <v>1.0861623761838534E-2</v>
      </c>
      <c r="G25" s="8">
        <f>IF(K25=0,0,(H25-L25)/L25)</f>
        <v>-0.1953125</v>
      </c>
      <c r="H25" s="5">
        <v>51.5</v>
      </c>
      <c r="I25" s="74">
        <f t="shared" si="2"/>
        <v>-1250</v>
      </c>
      <c r="J25" t="s">
        <v>625</v>
      </c>
      <c r="K25" s="118">
        <v>100</v>
      </c>
      <c r="L25" s="5">
        <f>IF(K25=0,0,M25/K25)</f>
        <v>64</v>
      </c>
      <c r="M25" s="74">
        <f>(100*64)</f>
        <v>6400</v>
      </c>
      <c r="N25" s="74">
        <v>0</v>
      </c>
      <c r="O25" s="6">
        <v>0</v>
      </c>
      <c r="P25" s="8">
        <f t="shared" si="9"/>
        <v>0</v>
      </c>
      <c r="Q25" s="8">
        <f>$O25*4/H25</f>
        <v>0</v>
      </c>
    </row>
    <row r="26" spans="1:17" x14ac:dyDescent="0.35">
      <c r="A26" s="261">
        <v>500</v>
      </c>
      <c r="B26" s="5">
        <v>12</v>
      </c>
      <c r="C26" s="133">
        <f>A26*B26</f>
        <v>6000</v>
      </c>
      <c r="D26" s="5">
        <f>(M26+C26)/(A26+K26)</f>
        <v>14.5</v>
      </c>
      <c r="E26" s="49">
        <f>(L26-B26)/L26</f>
        <v>0.29411764705882354</v>
      </c>
      <c r="F26" s="8">
        <f>M26/$M$2</f>
        <v>1.4425594058691803E-2</v>
      </c>
      <c r="G26" s="8">
        <f>IF(K26=0,0,(H26-L26)/L26)</f>
        <v>-0.14705882352941177</v>
      </c>
      <c r="H26" s="5">
        <v>14.5</v>
      </c>
      <c r="I26" s="74">
        <f t="shared" si="2"/>
        <v>-1250</v>
      </c>
      <c r="J26" t="s">
        <v>414</v>
      </c>
      <c r="K26" s="118">
        <v>500</v>
      </c>
      <c r="L26" s="5">
        <f>IF(K26=0,0,M26/K26)</f>
        <v>17</v>
      </c>
      <c r="M26" s="74">
        <f>500*17</f>
        <v>8500</v>
      </c>
      <c r="N26" s="74">
        <v>0</v>
      </c>
      <c r="O26" s="6">
        <v>0</v>
      </c>
      <c r="P26" s="8">
        <f t="shared" si="9"/>
        <v>0</v>
      </c>
      <c r="Q26" s="8">
        <f>$O26*4/H26</f>
        <v>0</v>
      </c>
    </row>
    <row r="27" spans="1:17" x14ac:dyDescent="0.35">
      <c r="A27" s="281">
        <v>500</v>
      </c>
      <c r="B27" s="5">
        <v>12</v>
      </c>
      <c r="C27" s="133">
        <f>A27*B27</f>
        <v>6000</v>
      </c>
      <c r="D27" s="5">
        <f>(M27+C27)/(A27+K27)</f>
        <v>16.666666666666668</v>
      </c>
      <c r="E27" s="49">
        <f>(L27-B27)/L27</f>
        <v>0.7</v>
      </c>
      <c r="F27" s="8">
        <f>M27/$M$2</f>
        <v>6.7885148511490833E-3</v>
      </c>
      <c r="G27" s="223">
        <f>IF(K27=0,0,(H27-L27)/L27)</f>
        <v>-0.2</v>
      </c>
      <c r="H27" s="5">
        <v>32</v>
      </c>
      <c r="I27" s="74">
        <f t="shared" si="2"/>
        <v>-800</v>
      </c>
      <c r="J27" t="s">
        <v>614</v>
      </c>
      <c r="K27" s="118">
        <v>100</v>
      </c>
      <c r="L27" s="5">
        <f>IF(K27=0,0,M27/K27)</f>
        <v>40</v>
      </c>
      <c r="M27" s="74">
        <f>40*100</f>
        <v>4000</v>
      </c>
      <c r="N27" s="74">
        <v>0</v>
      </c>
      <c r="O27" s="6">
        <v>0</v>
      </c>
      <c r="P27" s="8">
        <f t="shared" ref="P27" si="10">O27*4/L27</f>
        <v>0</v>
      </c>
      <c r="Q27" s="8">
        <f>$O27*4/H27</f>
        <v>0</v>
      </c>
    </row>
  </sheetData>
  <pageMargins left="0.7" right="0.7" top="0.75" bottom="0.75" header="0.3" footer="0.3"/>
  <pageSetup orientation="portrait" horizontalDpi="1200" verticalDpi="1200"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
  <sheetViews>
    <sheetView workbookViewId="0"/>
  </sheetViews>
  <sheetFormatPr defaultRowHeight="14.5" x14ac:dyDescent="0.35"/>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9"/>
  <dimension ref="B2:U141"/>
  <sheetViews>
    <sheetView topLeftCell="P19" zoomScale="99" zoomScaleNormal="99" workbookViewId="0">
      <selection activeCell="T28" sqref="T28"/>
    </sheetView>
  </sheetViews>
  <sheetFormatPr defaultRowHeight="14.5" x14ac:dyDescent="0.35"/>
  <cols>
    <col min="18" max="18" width="9.26953125" bestFit="1" customWidth="1"/>
  </cols>
  <sheetData>
    <row r="2" spans="14:21" x14ac:dyDescent="0.35">
      <c r="T2" t="s">
        <v>422</v>
      </c>
    </row>
    <row r="3" spans="14:21" x14ac:dyDescent="0.35">
      <c r="P3" t="s">
        <v>376</v>
      </c>
      <c r="Q3" t="s">
        <v>421</v>
      </c>
      <c r="R3" t="s">
        <v>416</v>
      </c>
      <c r="S3" t="s">
        <v>415</v>
      </c>
      <c r="T3" t="s">
        <v>416</v>
      </c>
      <c r="U3" t="s">
        <v>415</v>
      </c>
    </row>
    <row r="4" spans="14:21" x14ac:dyDescent="0.35">
      <c r="N4" s="31">
        <v>42251</v>
      </c>
      <c r="O4" s="30">
        <v>4319.25</v>
      </c>
      <c r="P4">
        <f>IF(P3="Week",1,P3+1)</f>
        <v>1</v>
      </c>
      <c r="Q4" s="31">
        <v>42741</v>
      </c>
      <c r="R4" s="74">
        <v>4243</v>
      </c>
      <c r="S4" s="5">
        <v>0</v>
      </c>
      <c r="T4">
        <f>IF($P4=1,R4,R4+T3)</f>
        <v>4243</v>
      </c>
      <c r="U4">
        <f>IF($P4=1,S4,S4+U3)</f>
        <v>0</v>
      </c>
    </row>
    <row r="5" spans="14:21" x14ac:dyDescent="0.35">
      <c r="N5" s="31">
        <v>42258</v>
      </c>
      <c r="O5" s="30">
        <v>4189.4875000000002</v>
      </c>
      <c r="P5">
        <f t="shared" ref="P5:P20" si="0">IF(P4="Week",1,P4+1)</f>
        <v>2</v>
      </c>
      <c r="Q5" s="31">
        <v>42748</v>
      </c>
      <c r="R5" s="74">
        <v>0</v>
      </c>
      <c r="S5" s="5">
        <v>-70.599999999999994</v>
      </c>
      <c r="T5">
        <f t="shared" ref="T5:T20" si="1">IF($P5=1,R5,R5+T4)</f>
        <v>4243</v>
      </c>
      <c r="U5">
        <f t="shared" ref="U5:U20" si="2">IF($P5=1,S5,S5+U4)</f>
        <v>-70.599999999999994</v>
      </c>
    </row>
    <row r="6" spans="14:21" x14ac:dyDescent="0.35">
      <c r="N6" s="31">
        <v>42265</v>
      </c>
      <c r="O6" s="30">
        <v>1554.5</v>
      </c>
      <c r="P6">
        <f t="shared" si="0"/>
        <v>3</v>
      </c>
      <c r="Q6" s="31">
        <v>42755</v>
      </c>
      <c r="R6" s="74">
        <v>1285</v>
      </c>
      <c r="S6" s="5">
        <v>66.000000000000028</v>
      </c>
      <c r="T6">
        <f t="shared" si="1"/>
        <v>5528</v>
      </c>
      <c r="U6">
        <f t="shared" si="2"/>
        <v>-4.5999999999999659</v>
      </c>
    </row>
    <row r="7" spans="14:21" x14ac:dyDescent="0.35">
      <c r="N7" s="31">
        <v>42272</v>
      </c>
      <c r="O7" s="30">
        <v>4111</v>
      </c>
      <c r="P7">
        <f t="shared" si="0"/>
        <v>4</v>
      </c>
      <c r="Q7" s="31">
        <v>42762</v>
      </c>
      <c r="R7" s="74">
        <v>1294</v>
      </c>
      <c r="S7" s="5">
        <v>1120</v>
      </c>
      <c r="T7">
        <f t="shared" si="1"/>
        <v>6822</v>
      </c>
      <c r="U7">
        <f t="shared" si="2"/>
        <v>1115.4000000000001</v>
      </c>
    </row>
    <row r="8" spans="14:21" x14ac:dyDescent="0.35">
      <c r="N8" s="31">
        <v>42279</v>
      </c>
      <c r="O8" s="30">
        <v>6419.5500000000011</v>
      </c>
      <c r="P8">
        <f t="shared" si="0"/>
        <v>5</v>
      </c>
      <c r="Q8" s="31">
        <v>42769</v>
      </c>
      <c r="R8" s="74">
        <v>2238</v>
      </c>
      <c r="S8" s="219">
        <v>1351</v>
      </c>
      <c r="T8">
        <f t="shared" si="1"/>
        <v>9060</v>
      </c>
      <c r="U8">
        <f t="shared" si="2"/>
        <v>2466.4</v>
      </c>
    </row>
    <row r="9" spans="14:21" x14ac:dyDescent="0.35">
      <c r="N9" s="31">
        <v>42286</v>
      </c>
      <c r="O9" s="30">
        <v>6010</v>
      </c>
      <c r="P9">
        <f t="shared" si="0"/>
        <v>6</v>
      </c>
      <c r="Q9" s="31">
        <v>42776</v>
      </c>
      <c r="R9" s="74">
        <v>2390.9999999999991</v>
      </c>
      <c r="S9" s="5">
        <v>2020.9999999999998</v>
      </c>
      <c r="T9">
        <f t="shared" si="1"/>
        <v>11451</v>
      </c>
      <c r="U9">
        <f t="shared" si="2"/>
        <v>4487.3999999999996</v>
      </c>
    </row>
    <row r="10" spans="14:21" x14ac:dyDescent="0.35">
      <c r="N10" s="31">
        <v>42293</v>
      </c>
      <c r="O10" s="30">
        <v>10113.5</v>
      </c>
      <c r="P10">
        <f t="shared" si="0"/>
        <v>7</v>
      </c>
      <c r="Q10" s="31">
        <v>42783</v>
      </c>
      <c r="R10" s="74">
        <v>1496.1</v>
      </c>
      <c r="S10" s="5">
        <v>1190</v>
      </c>
      <c r="T10">
        <f t="shared" si="1"/>
        <v>12947.1</v>
      </c>
      <c r="U10">
        <f t="shared" si="2"/>
        <v>5677.4</v>
      </c>
    </row>
    <row r="11" spans="14:21" x14ac:dyDescent="0.35">
      <c r="N11" s="31">
        <v>42300</v>
      </c>
      <c r="O11" s="30">
        <v>883.5</v>
      </c>
      <c r="P11">
        <f t="shared" si="0"/>
        <v>8</v>
      </c>
      <c r="Q11" s="31">
        <v>42790</v>
      </c>
      <c r="R11" s="74">
        <v>3628</v>
      </c>
      <c r="S11" s="5">
        <v>2021</v>
      </c>
      <c r="T11">
        <f t="shared" si="1"/>
        <v>16575.099999999999</v>
      </c>
      <c r="U11">
        <f t="shared" si="2"/>
        <v>7698.4</v>
      </c>
    </row>
    <row r="12" spans="14:21" x14ac:dyDescent="0.35">
      <c r="N12" s="31">
        <v>42307</v>
      </c>
      <c r="O12" s="30">
        <v>3121.5</v>
      </c>
      <c r="P12">
        <f t="shared" si="0"/>
        <v>9</v>
      </c>
      <c r="Q12" s="31">
        <v>42797</v>
      </c>
      <c r="R12" s="74">
        <v>1411</v>
      </c>
      <c r="S12" s="5">
        <v>1273</v>
      </c>
      <c r="T12">
        <f t="shared" si="1"/>
        <v>17986.099999999999</v>
      </c>
      <c r="U12">
        <f t="shared" si="2"/>
        <v>8971.4</v>
      </c>
    </row>
    <row r="13" spans="14:21" x14ac:dyDescent="0.35">
      <c r="N13" s="31">
        <v>42314</v>
      </c>
      <c r="O13" s="30">
        <v>2186.75</v>
      </c>
      <c r="P13">
        <f t="shared" si="0"/>
        <v>10</v>
      </c>
      <c r="Q13" s="31">
        <v>42804</v>
      </c>
      <c r="R13" s="74">
        <v>809</v>
      </c>
      <c r="S13" s="5">
        <v>809</v>
      </c>
      <c r="T13">
        <f t="shared" si="1"/>
        <v>18795.099999999999</v>
      </c>
      <c r="U13">
        <f t="shared" si="2"/>
        <v>9780.4</v>
      </c>
    </row>
    <row r="14" spans="14:21" x14ac:dyDescent="0.35">
      <c r="N14" s="31">
        <v>42321</v>
      </c>
      <c r="O14" s="30">
        <v>7250.5</v>
      </c>
      <c r="P14">
        <f t="shared" si="0"/>
        <v>11</v>
      </c>
      <c r="Q14" s="31">
        <v>42811</v>
      </c>
      <c r="R14" s="74">
        <v>1191.9999999999995</v>
      </c>
      <c r="S14" s="5">
        <v>554</v>
      </c>
      <c r="T14">
        <f t="shared" si="1"/>
        <v>19987.099999999999</v>
      </c>
      <c r="U14">
        <f t="shared" si="2"/>
        <v>10334.4</v>
      </c>
    </row>
    <row r="15" spans="14:21" x14ac:dyDescent="0.35">
      <c r="N15" s="31">
        <v>42328</v>
      </c>
      <c r="O15" s="30">
        <v>1926.5</v>
      </c>
      <c r="P15">
        <f t="shared" si="0"/>
        <v>12</v>
      </c>
      <c r="Q15" s="31">
        <v>42818</v>
      </c>
      <c r="R15" s="74">
        <v>2403</v>
      </c>
      <c r="S15" s="5">
        <v>3410</v>
      </c>
      <c r="T15">
        <f t="shared" si="1"/>
        <v>22390.1</v>
      </c>
      <c r="U15">
        <f t="shared" si="2"/>
        <v>13744.4</v>
      </c>
    </row>
    <row r="16" spans="14:21" x14ac:dyDescent="0.35">
      <c r="N16" s="31">
        <v>42335</v>
      </c>
      <c r="O16" s="30">
        <v>4675.75</v>
      </c>
      <c r="P16">
        <f t="shared" si="0"/>
        <v>13</v>
      </c>
      <c r="Q16" s="31">
        <v>42825</v>
      </c>
      <c r="R16" s="74">
        <v>814.99999999999977</v>
      </c>
      <c r="S16" s="5">
        <v>415.00000000000006</v>
      </c>
      <c r="T16">
        <f t="shared" si="1"/>
        <v>23205.1</v>
      </c>
      <c r="U16">
        <f t="shared" si="2"/>
        <v>14159.4</v>
      </c>
    </row>
    <row r="17" spans="4:21" x14ac:dyDescent="0.35">
      <c r="N17" s="31">
        <v>42342</v>
      </c>
      <c r="O17" s="30">
        <v>2444.5</v>
      </c>
      <c r="P17">
        <f t="shared" si="0"/>
        <v>14</v>
      </c>
      <c r="Q17" s="31">
        <v>42832</v>
      </c>
      <c r="R17" s="74">
        <v>952</v>
      </c>
      <c r="S17" s="219">
        <v>1182</v>
      </c>
      <c r="T17">
        <f t="shared" si="1"/>
        <v>24157.1</v>
      </c>
      <c r="U17">
        <f t="shared" si="2"/>
        <v>15341.4</v>
      </c>
    </row>
    <row r="18" spans="4:21" x14ac:dyDescent="0.35">
      <c r="N18" s="31">
        <v>42349</v>
      </c>
      <c r="O18" s="30">
        <v>3012.5</v>
      </c>
      <c r="P18">
        <f t="shared" si="0"/>
        <v>15</v>
      </c>
      <c r="Q18" s="31">
        <v>42839</v>
      </c>
      <c r="R18" s="74">
        <v>1708.0000000000002</v>
      </c>
      <c r="S18" s="5">
        <v>1326</v>
      </c>
      <c r="T18">
        <f t="shared" si="1"/>
        <v>25865.1</v>
      </c>
      <c r="U18">
        <f t="shared" si="2"/>
        <v>16667.400000000001</v>
      </c>
    </row>
    <row r="19" spans="4:21" x14ac:dyDescent="0.35">
      <c r="N19" s="31">
        <v>42356</v>
      </c>
      <c r="O19" s="30">
        <v>819.25</v>
      </c>
      <c r="P19">
        <f t="shared" si="0"/>
        <v>16</v>
      </c>
      <c r="Q19" s="31">
        <v>42846</v>
      </c>
      <c r="R19" s="74">
        <v>3715.1105579999971</v>
      </c>
      <c r="S19" s="5">
        <v>1263</v>
      </c>
      <c r="T19">
        <f t="shared" si="1"/>
        <v>29580.210557999995</v>
      </c>
      <c r="U19">
        <f t="shared" si="2"/>
        <v>17930.400000000001</v>
      </c>
    </row>
    <row r="20" spans="4:21" x14ac:dyDescent="0.35">
      <c r="N20" s="31">
        <v>42363</v>
      </c>
      <c r="O20" s="30">
        <v>3579.2500000000018</v>
      </c>
      <c r="P20">
        <f t="shared" si="0"/>
        <v>17</v>
      </c>
      <c r="Q20" s="31">
        <v>42853</v>
      </c>
      <c r="R20">
        <v>2107</v>
      </c>
      <c r="S20" s="5">
        <v>2000</v>
      </c>
      <c r="T20">
        <f t="shared" si="1"/>
        <v>31687.210557999995</v>
      </c>
      <c r="U20">
        <f t="shared" si="2"/>
        <v>19930.400000000001</v>
      </c>
    </row>
    <row r="21" spans="4:21" x14ac:dyDescent="0.35">
      <c r="D21" s="75"/>
      <c r="N21" s="31">
        <v>42370</v>
      </c>
      <c r="O21" s="30">
        <v>1033.75</v>
      </c>
      <c r="Q21" s="31">
        <v>42860</v>
      </c>
      <c r="S21" s="5"/>
    </row>
    <row r="22" spans="4:21" x14ac:dyDescent="0.35">
      <c r="D22" s="75"/>
      <c r="N22" s="31">
        <v>42377</v>
      </c>
      <c r="O22" s="30">
        <v>6727.4999999999991</v>
      </c>
      <c r="Q22" s="31">
        <v>42867</v>
      </c>
      <c r="S22" s="5"/>
    </row>
    <row r="23" spans="4:21" x14ac:dyDescent="0.35">
      <c r="D23" s="75"/>
      <c r="N23" s="31">
        <v>42384</v>
      </c>
      <c r="O23" s="30">
        <v>998.00000000000045</v>
      </c>
      <c r="Q23" s="31">
        <v>42874</v>
      </c>
      <c r="S23" s="5"/>
    </row>
    <row r="24" spans="4:21" x14ac:dyDescent="0.35">
      <c r="D24" s="75"/>
      <c r="N24" s="31">
        <v>42391</v>
      </c>
      <c r="O24" s="30">
        <v>1851</v>
      </c>
      <c r="Q24" s="31">
        <v>42881</v>
      </c>
      <c r="S24" s="5"/>
    </row>
    <row r="25" spans="4:21" x14ac:dyDescent="0.35">
      <c r="D25" s="75"/>
      <c r="N25" s="31">
        <v>42398</v>
      </c>
      <c r="O25" s="30">
        <v>937.00000000000023</v>
      </c>
      <c r="Q25" s="31">
        <v>42888</v>
      </c>
      <c r="S25" s="5"/>
    </row>
    <row r="26" spans="4:21" x14ac:dyDescent="0.35">
      <c r="D26" s="75"/>
      <c r="N26" s="31">
        <v>42405</v>
      </c>
      <c r="O26" s="30">
        <v>3985</v>
      </c>
      <c r="Q26" s="31">
        <v>42895</v>
      </c>
      <c r="S26" s="5"/>
    </row>
    <row r="27" spans="4:21" x14ac:dyDescent="0.35">
      <c r="D27" s="75"/>
      <c r="N27" s="31">
        <v>42412</v>
      </c>
      <c r="O27" s="30">
        <v>884.00000000000045</v>
      </c>
    </row>
    <row r="28" spans="4:21" x14ac:dyDescent="0.35">
      <c r="D28" s="75"/>
      <c r="N28" s="31">
        <v>42419</v>
      </c>
      <c r="O28" s="30">
        <v>1213</v>
      </c>
    </row>
    <row r="50" spans="3:7" x14ac:dyDescent="0.35">
      <c r="G50" s="26"/>
    </row>
    <row r="51" spans="3:7" x14ac:dyDescent="0.35">
      <c r="G51" s="26"/>
    </row>
    <row r="52" spans="3:7" x14ac:dyDescent="0.35">
      <c r="G52" s="26"/>
    </row>
    <row r="55" spans="3:7" x14ac:dyDescent="0.35">
      <c r="C55" s="5"/>
      <c r="D55" s="5"/>
    </row>
    <row r="56" spans="3:7" x14ac:dyDescent="0.35">
      <c r="C56" s="5"/>
      <c r="D56" s="5"/>
    </row>
    <row r="57" spans="3:7" x14ac:dyDescent="0.35">
      <c r="C57" s="5"/>
      <c r="D57" s="5"/>
    </row>
    <row r="79" spans="7:9" x14ac:dyDescent="0.35">
      <c r="G79" s="89"/>
    </row>
    <row r="80" spans="7:9" x14ac:dyDescent="0.35">
      <c r="I80" s="89"/>
    </row>
    <row r="88" spans="9:9" x14ac:dyDescent="0.35">
      <c r="I88" s="89"/>
    </row>
    <row r="125" spans="3:3" x14ac:dyDescent="0.35">
      <c r="C125" s="27"/>
    </row>
    <row r="126" spans="3:3" x14ac:dyDescent="0.35">
      <c r="C126" s="27"/>
    </row>
    <row r="127" spans="3:3" x14ac:dyDescent="0.35">
      <c r="C127" s="27"/>
    </row>
    <row r="128" spans="3:3" x14ac:dyDescent="0.35">
      <c r="C128" s="27"/>
    </row>
    <row r="129" spans="2:3" x14ac:dyDescent="0.35">
      <c r="C129" s="27"/>
    </row>
    <row r="141" spans="2:3" x14ac:dyDescent="0.35">
      <c r="B141" s="31"/>
    </row>
  </sheetData>
  <pageMargins left="0.7" right="0.7" top="0.75" bottom="0.75" header="0.3" footer="0.3"/>
  <pageSetup orientation="portrait" horizontalDpi="1200" verticalDpi="1200"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C3:R30"/>
  <sheetViews>
    <sheetView zoomScale="108" zoomScaleNormal="108" workbookViewId="0">
      <selection activeCell="H15" sqref="H15"/>
    </sheetView>
  </sheetViews>
  <sheetFormatPr defaultRowHeight="14.5" x14ac:dyDescent="0.35"/>
  <cols>
    <col min="3" max="3" width="13.6328125" customWidth="1"/>
    <col min="4" max="4" width="11.6328125" customWidth="1"/>
    <col min="6" max="6" width="13" style="198" bestFit="1" customWidth="1"/>
    <col min="7" max="8" width="9.54296875" customWidth="1"/>
    <col min="10" max="10" width="13.6328125" customWidth="1"/>
    <col min="11" max="11" width="11.6328125" customWidth="1"/>
    <col min="13" max="13" width="13" customWidth="1"/>
    <col min="14" max="14" width="9.54296875" customWidth="1"/>
    <col min="18" max="18" width="30.453125" bestFit="1" customWidth="1"/>
  </cols>
  <sheetData>
    <row r="3" spans="3:15" x14ac:dyDescent="0.35">
      <c r="C3" t="s">
        <v>116</v>
      </c>
      <c r="D3">
        <v>16.850000000000001</v>
      </c>
    </row>
    <row r="4" spans="3:15" x14ac:dyDescent="0.35">
      <c r="C4" t="s">
        <v>393</v>
      </c>
      <c r="D4" s="25">
        <v>42846</v>
      </c>
    </row>
    <row r="7" spans="3:15" x14ac:dyDescent="0.35">
      <c r="C7" t="s">
        <v>393</v>
      </c>
      <c r="D7" t="s">
        <v>394</v>
      </c>
      <c r="E7" t="s">
        <v>190</v>
      </c>
      <c r="F7" s="198" t="s">
        <v>395</v>
      </c>
      <c r="G7" t="s">
        <v>396</v>
      </c>
      <c r="J7" t="s">
        <v>393</v>
      </c>
      <c r="K7" t="s">
        <v>394</v>
      </c>
      <c r="L7" t="s">
        <v>190</v>
      </c>
      <c r="M7" s="198" t="s">
        <v>395</v>
      </c>
      <c r="N7" t="s">
        <v>396</v>
      </c>
      <c r="O7" t="s">
        <v>397</v>
      </c>
    </row>
    <row r="8" spans="3:15" x14ac:dyDescent="0.35">
      <c r="C8" s="25">
        <v>42874</v>
      </c>
      <c r="D8" s="27">
        <v>17.05</v>
      </c>
      <c r="E8">
        <v>115</v>
      </c>
      <c r="F8" s="198">
        <f t="shared" ref="F8:F13" si="0">(C8-$D$4)/7</f>
        <v>4</v>
      </c>
      <c r="G8" s="8">
        <f t="shared" ref="G8:G13" si="1">(D8-$D$3)/111*(50/F8)</f>
        <v>2.2522522522522442E-2</v>
      </c>
      <c r="H8" s="8"/>
      <c r="J8" s="25">
        <v>42874</v>
      </c>
      <c r="K8" s="27"/>
      <c r="L8">
        <v>120</v>
      </c>
      <c r="M8" s="198">
        <f t="shared" ref="M8:M13" si="2">(J8-$D$4)/7</f>
        <v>4</v>
      </c>
      <c r="N8" s="8">
        <f>(K8-$D$3)/111*(50/M8)</f>
        <v>-1.8975225225225225</v>
      </c>
    </row>
    <row r="9" spans="3:15" x14ac:dyDescent="0.35">
      <c r="C9" s="25">
        <v>42902</v>
      </c>
      <c r="D9" s="27">
        <v>17.3</v>
      </c>
      <c r="E9">
        <v>115</v>
      </c>
      <c r="F9" s="198">
        <f t="shared" si="0"/>
        <v>8</v>
      </c>
      <c r="G9" s="8">
        <f t="shared" si="1"/>
        <v>2.5337837837837794E-2</v>
      </c>
      <c r="H9" s="8"/>
      <c r="J9" s="25">
        <v>42902</v>
      </c>
      <c r="K9" s="27"/>
      <c r="L9">
        <v>120</v>
      </c>
      <c r="M9" s="198">
        <f t="shared" si="2"/>
        <v>8</v>
      </c>
      <c r="N9" s="8">
        <f>(K9-$D$3)/111*(50/M9)</f>
        <v>-0.94876126126126126</v>
      </c>
    </row>
    <row r="10" spans="3:15" x14ac:dyDescent="0.35">
      <c r="C10" s="25">
        <v>42937</v>
      </c>
      <c r="D10" s="27">
        <v>17.8</v>
      </c>
      <c r="E10">
        <v>115</v>
      </c>
      <c r="F10" s="198">
        <f t="shared" si="0"/>
        <v>13</v>
      </c>
      <c r="G10" s="8">
        <f t="shared" si="1"/>
        <v>3.2917532917532896E-2</v>
      </c>
      <c r="H10" s="8"/>
      <c r="J10" s="25">
        <v>42937</v>
      </c>
      <c r="K10" s="27"/>
      <c r="L10">
        <v>120</v>
      </c>
      <c r="M10" s="198">
        <f t="shared" si="2"/>
        <v>13</v>
      </c>
      <c r="N10" s="8">
        <f>(K10-$D$3)/111*(50/M10)</f>
        <v>-0.58385308385308388</v>
      </c>
    </row>
    <row r="11" spans="3:15" x14ac:dyDescent="0.35">
      <c r="C11" s="25">
        <v>43028</v>
      </c>
      <c r="D11" s="27">
        <v>19.350000000000001</v>
      </c>
      <c r="E11">
        <v>115</v>
      </c>
      <c r="F11" s="198">
        <f t="shared" si="0"/>
        <v>26</v>
      </c>
      <c r="G11" s="8">
        <f t="shared" si="1"/>
        <v>4.3312543312543313E-2</v>
      </c>
      <c r="H11" s="8"/>
      <c r="J11" s="25">
        <v>43028</v>
      </c>
      <c r="K11" s="27">
        <v>15.85</v>
      </c>
      <c r="L11">
        <v>120</v>
      </c>
      <c r="M11" s="198">
        <f t="shared" si="2"/>
        <v>26</v>
      </c>
      <c r="N11" s="8">
        <f>(K11-$D$3)/111*(50/M11)</f>
        <v>-1.7325017325017355E-2</v>
      </c>
      <c r="O11" s="8">
        <f>($K11-$D$3+5)/111*(50/$M11)</f>
        <v>6.9300069300069281E-2</v>
      </c>
    </row>
    <row r="12" spans="3:15" x14ac:dyDescent="0.35">
      <c r="C12" s="25">
        <v>43056</v>
      </c>
      <c r="D12" s="27">
        <v>19.95</v>
      </c>
      <c r="E12">
        <v>115</v>
      </c>
      <c r="F12" s="198">
        <f t="shared" si="0"/>
        <v>30</v>
      </c>
      <c r="G12" s="8">
        <f t="shared" si="1"/>
        <v>4.6546546546546518E-2</v>
      </c>
      <c r="H12" s="8"/>
      <c r="J12" s="25">
        <v>43056</v>
      </c>
      <c r="K12" s="27">
        <v>16.55</v>
      </c>
      <c r="L12">
        <v>120</v>
      </c>
      <c r="M12" s="198">
        <f t="shared" si="2"/>
        <v>30</v>
      </c>
      <c r="N12" s="8">
        <f>(K12-$D$3)/111*(50/M12)</f>
        <v>-4.5045045045045149E-3</v>
      </c>
      <c r="O12" s="8">
        <f>($K12-$D$3+5)/111*(50/$M12)</f>
        <v>7.0570570570570562E-2</v>
      </c>
    </row>
    <row r="13" spans="3:15" x14ac:dyDescent="0.35">
      <c r="C13" s="25">
        <v>43119</v>
      </c>
      <c r="D13" s="27">
        <v>21</v>
      </c>
      <c r="E13">
        <v>115</v>
      </c>
      <c r="F13" s="198">
        <f t="shared" si="0"/>
        <v>39</v>
      </c>
      <c r="G13" s="8">
        <f t="shared" si="1"/>
        <v>4.793254793254792E-2</v>
      </c>
      <c r="H13" s="5">
        <f>D13-D3</f>
        <v>4.1499999999999986</v>
      </c>
      <c r="J13" s="25">
        <v>43119</v>
      </c>
      <c r="K13" s="27">
        <v>17.75</v>
      </c>
      <c r="L13">
        <v>120</v>
      </c>
      <c r="M13" s="198">
        <f t="shared" si="2"/>
        <v>39</v>
      </c>
      <c r="N13" s="8">
        <f>($K13-$D$3)/111*(50/$M13)</f>
        <v>1.0395010395010378E-2</v>
      </c>
      <c r="O13" s="8">
        <f>($K13-$D$3+5)/111*(50/$M13)</f>
        <v>6.8145068145068127E-2</v>
      </c>
    </row>
    <row r="17" spans="3:18" x14ac:dyDescent="0.35">
      <c r="C17" s="67"/>
    </row>
    <row r="18" spans="3:18" x14ac:dyDescent="0.35">
      <c r="C18" s="67"/>
      <c r="J18" s="26"/>
      <c r="K18" s="26"/>
      <c r="R18" s="180"/>
    </row>
    <row r="19" spans="3:18" x14ac:dyDescent="0.35">
      <c r="J19" s="26"/>
      <c r="K19" s="26"/>
    </row>
    <row r="20" spans="3:18" x14ac:dyDescent="0.35">
      <c r="R20" s="180"/>
    </row>
    <row r="22" spans="3:18" x14ac:dyDescent="0.35">
      <c r="R22" s="180"/>
    </row>
    <row r="23" spans="3:18" x14ac:dyDescent="0.35">
      <c r="L23" s="196"/>
    </row>
    <row r="24" spans="3:18" x14ac:dyDescent="0.35">
      <c r="R24" s="180"/>
    </row>
    <row r="26" spans="3:18" x14ac:dyDescent="0.35">
      <c r="R26" s="180"/>
    </row>
    <row r="28" spans="3:18" x14ac:dyDescent="0.35">
      <c r="R28" s="180"/>
    </row>
    <row r="30" spans="3:18" x14ac:dyDescent="0.35">
      <c r="R30" s="180"/>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3"/>
  <dimension ref="B1:V63"/>
  <sheetViews>
    <sheetView topLeftCell="A4" workbookViewId="0">
      <selection activeCell="H23" sqref="H23"/>
    </sheetView>
  </sheetViews>
  <sheetFormatPr defaultRowHeight="14.5" x14ac:dyDescent="0.35"/>
  <cols>
    <col min="2" max="2" width="12.81640625" customWidth="1"/>
    <col min="3" max="3" width="16.54296875" bestFit="1" customWidth="1"/>
    <col min="4" max="4" width="14.6328125" style="5" bestFit="1" customWidth="1"/>
    <col min="5" max="5" width="14.90625" style="197" customWidth="1"/>
    <col min="8" max="8" width="24.54296875" bestFit="1" customWidth="1"/>
    <col min="9" max="9" width="9.1796875" style="116"/>
    <col min="10" max="10" width="13.7265625" style="116" customWidth="1"/>
    <col min="11" max="12" width="9.1796875" style="116"/>
    <col min="18" max="18" width="21.453125" bestFit="1" customWidth="1"/>
    <col min="19" max="19" width="15.7265625" bestFit="1" customWidth="1"/>
    <col min="20" max="20" width="14.26953125" bestFit="1" customWidth="1"/>
  </cols>
  <sheetData>
    <row r="1" spans="2:22" ht="18.5" x14ac:dyDescent="0.45">
      <c r="S1" s="34"/>
      <c r="T1" s="43"/>
      <c r="U1" s="44"/>
    </row>
    <row r="2" spans="2:22" ht="18.5" x14ac:dyDescent="0.45">
      <c r="S2" s="34"/>
    </row>
    <row r="4" spans="2:22" x14ac:dyDescent="0.35">
      <c r="B4" t="s">
        <v>338</v>
      </c>
    </row>
    <row r="6" spans="2:22" x14ac:dyDescent="0.35">
      <c r="C6" t="s">
        <v>177</v>
      </c>
      <c r="D6" s="5" t="s">
        <v>391</v>
      </c>
      <c r="E6" s="197" t="s">
        <v>392</v>
      </c>
    </row>
    <row r="7" spans="2:22" x14ac:dyDescent="0.35">
      <c r="C7">
        <v>2</v>
      </c>
      <c r="D7" s="5">
        <v>0.02</v>
      </c>
      <c r="E7" s="8">
        <f>(D7/48)*(50/C7)</f>
        <v>1.0416666666666668E-2</v>
      </c>
    </row>
    <row r="8" spans="2:22" x14ac:dyDescent="0.35">
      <c r="C8">
        <v>3</v>
      </c>
      <c r="D8" s="5">
        <v>0.05</v>
      </c>
      <c r="E8" s="8">
        <f t="shared" ref="E8:E17" si="0">(D8/48)*(50/C8)</f>
        <v>1.7361111111111112E-2</v>
      </c>
    </row>
    <row r="9" spans="2:22" x14ac:dyDescent="0.35">
      <c r="C9">
        <v>4</v>
      </c>
      <c r="D9" s="5">
        <v>0.1</v>
      </c>
      <c r="E9" s="8">
        <f t="shared" si="0"/>
        <v>2.6041666666666668E-2</v>
      </c>
    </row>
    <row r="10" spans="2:22" x14ac:dyDescent="0.35">
      <c r="C10">
        <v>6</v>
      </c>
      <c r="D10" s="5">
        <v>0.21</v>
      </c>
      <c r="E10" s="8">
        <f t="shared" si="0"/>
        <v>3.6458333333333329E-2</v>
      </c>
    </row>
    <row r="11" spans="2:22" x14ac:dyDescent="0.35">
      <c r="C11">
        <v>7</v>
      </c>
      <c r="D11" s="5">
        <v>0.27</v>
      </c>
      <c r="E11" s="8">
        <f t="shared" si="0"/>
        <v>4.0178571428571438E-2</v>
      </c>
    </row>
    <row r="12" spans="2:22" ht="18.5" x14ac:dyDescent="0.45">
      <c r="C12">
        <v>11</v>
      </c>
      <c r="D12" s="5">
        <v>0.46</v>
      </c>
      <c r="E12" s="8">
        <f t="shared" si="0"/>
        <v>4.356060606060607E-2</v>
      </c>
      <c r="T12" s="34"/>
      <c r="V12" s="42"/>
    </row>
    <row r="13" spans="2:22" x14ac:dyDescent="0.35">
      <c r="C13">
        <v>15</v>
      </c>
      <c r="D13" s="5">
        <v>0.62</v>
      </c>
      <c r="E13" s="8">
        <f t="shared" si="0"/>
        <v>4.3055555555555555E-2</v>
      </c>
    </row>
    <row r="14" spans="2:22" x14ac:dyDescent="0.35">
      <c r="C14">
        <v>19</v>
      </c>
      <c r="D14" s="5">
        <v>0.8</v>
      </c>
      <c r="E14" s="8">
        <f t="shared" si="0"/>
        <v>4.3859649122807022E-2</v>
      </c>
    </row>
    <row r="15" spans="2:22" x14ac:dyDescent="0.35">
      <c r="C15">
        <v>23</v>
      </c>
      <c r="D15" s="5">
        <v>0.92</v>
      </c>
      <c r="E15" s="8">
        <f t="shared" si="0"/>
        <v>4.1666666666666671E-2</v>
      </c>
    </row>
    <row r="16" spans="2:22" x14ac:dyDescent="0.35">
      <c r="C16">
        <f>23+12</f>
        <v>35</v>
      </c>
      <c r="D16" s="5">
        <v>1.41</v>
      </c>
      <c r="E16" s="8">
        <f t="shared" si="0"/>
        <v>4.1964285714285711E-2</v>
      </c>
    </row>
    <row r="17" spans="2:8" x14ac:dyDescent="0.35">
      <c r="C17">
        <f>23+25</f>
        <v>48</v>
      </c>
      <c r="D17" s="5">
        <v>1.78</v>
      </c>
      <c r="E17" s="8">
        <f t="shared" si="0"/>
        <v>3.8628472222222231E-2</v>
      </c>
    </row>
    <row r="19" spans="2:8" x14ac:dyDescent="0.35">
      <c r="B19" s="67"/>
      <c r="C19" s="67"/>
      <c r="F19" s="9"/>
      <c r="G19" s="9"/>
      <c r="H19" s="120"/>
    </row>
    <row r="20" spans="2:8" x14ac:dyDescent="0.35">
      <c r="B20" s="67"/>
      <c r="C20" s="67"/>
      <c r="F20" s="9"/>
      <c r="G20" s="9"/>
      <c r="H20" s="120"/>
    </row>
    <row r="21" spans="2:8" x14ac:dyDescent="0.35">
      <c r="B21" s="67" t="s">
        <v>181</v>
      </c>
      <c r="C21" s="67"/>
      <c r="F21" s="9"/>
      <c r="G21" s="9"/>
      <c r="H21" s="120"/>
    </row>
    <row r="22" spans="2:8" x14ac:dyDescent="0.35">
      <c r="B22" s="200" t="s">
        <v>400</v>
      </c>
      <c r="C22" s="200" t="s">
        <v>191</v>
      </c>
      <c r="D22" s="8" t="s">
        <v>401</v>
      </c>
      <c r="F22" s="9"/>
      <c r="G22" s="9"/>
      <c r="H22" s="120"/>
    </row>
    <row r="23" spans="2:8" x14ac:dyDescent="0.35">
      <c r="B23" s="200">
        <v>0.54</v>
      </c>
      <c r="C23" s="200">
        <v>30</v>
      </c>
      <c r="D23" s="8">
        <f t="shared" ref="D23:D31" si="1">B23/C23*4</f>
        <v>7.2000000000000008E-2</v>
      </c>
      <c r="F23" s="9"/>
      <c r="G23" s="9"/>
      <c r="H23" s="120"/>
    </row>
    <row r="24" spans="2:8" x14ac:dyDescent="0.35">
      <c r="B24" s="200">
        <v>0.54</v>
      </c>
      <c r="C24" s="200">
        <v>29</v>
      </c>
      <c r="D24" s="8">
        <f t="shared" si="1"/>
        <v>7.4482758620689662E-2</v>
      </c>
      <c r="F24" s="9"/>
      <c r="G24" s="9"/>
      <c r="H24" s="120"/>
    </row>
    <row r="25" spans="2:8" x14ac:dyDescent="0.35">
      <c r="B25" s="200">
        <v>0.54</v>
      </c>
      <c r="C25" s="200">
        <v>28</v>
      </c>
      <c r="D25" s="8">
        <f t="shared" si="1"/>
        <v>7.7142857142857152E-2</v>
      </c>
      <c r="F25" s="9"/>
      <c r="G25" s="9"/>
      <c r="H25" s="120"/>
    </row>
    <row r="26" spans="2:8" x14ac:dyDescent="0.35">
      <c r="B26" s="200">
        <v>0.54</v>
      </c>
      <c r="C26" s="200">
        <v>27</v>
      </c>
      <c r="D26" s="8">
        <f t="shared" si="1"/>
        <v>0.08</v>
      </c>
      <c r="F26" s="9"/>
      <c r="G26" s="9"/>
      <c r="H26" s="120"/>
    </row>
    <row r="27" spans="2:8" x14ac:dyDescent="0.35">
      <c r="B27" s="200">
        <v>0.54</v>
      </c>
      <c r="C27" s="200">
        <v>26</v>
      </c>
      <c r="D27" s="8">
        <f t="shared" si="1"/>
        <v>8.3076923076923076E-2</v>
      </c>
      <c r="F27" s="9"/>
      <c r="G27" s="9"/>
      <c r="H27" s="120"/>
    </row>
    <row r="28" spans="2:8" x14ac:dyDescent="0.35">
      <c r="B28" s="200">
        <v>0.54</v>
      </c>
      <c r="C28" s="200">
        <v>25</v>
      </c>
      <c r="D28" s="8">
        <f t="shared" si="1"/>
        <v>8.6400000000000005E-2</v>
      </c>
      <c r="F28" s="9"/>
      <c r="G28" s="9"/>
      <c r="H28" s="120"/>
    </row>
    <row r="29" spans="2:8" x14ac:dyDescent="0.35">
      <c r="B29" s="200">
        <v>0.54</v>
      </c>
      <c r="C29" s="200">
        <v>24</v>
      </c>
      <c r="D29" s="8">
        <f t="shared" si="1"/>
        <v>9.0000000000000011E-2</v>
      </c>
    </row>
    <row r="30" spans="2:8" x14ac:dyDescent="0.35">
      <c r="B30" s="200">
        <v>0.54</v>
      </c>
      <c r="C30" s="200">
        <v>23</v>
      </c>
      <c r="D30" s="8">
        <f t="shared" si="1"/>
        <v>9.3913043478260877E-2</v>
      </c>
    </row>
    <row r="31" spans="2:8" x14ac:dyDescent="0.35">
      <c r="B31" s="200">
        <v>0.54</v>
      </c>
      <c r="C31" s="200">
        <v>22</v>
      </c>
      <c r="D31" s="8">
        <f t="shared" si="1"/>
        <v>9.818181818181819E-2</v>
      </c>
    </row>
    <row r="33" spans="2:12" x14ac:dyDescent="0.35">
      <c r="B33" s="67"/>
      <c r="C33" s="67"/>
      <c r="F33" s="9"/>
      <c r="G33" s="9"/>
      <c r="H33" s="9"/>
    </row>
    <row r="34" spans="2:12" x14ac:dyDescent="0.35">
      <c r="B34" s="67"/>
      <c r="C34" s="67"/>
      <c r="F34" s="9"/>
      <c r="G34" s="9"/>
      <c r="H34" s="9"/>
    </row>
    <row r="35" spans="2:12" x14ac:dyDescent="0.35">
      <c r="B35" s="67"/>
      <c r="C35" s="67"/>
      <c r="F35" s="9"/>
      <c r="G35" s="9"/>
      <c r="H35" s="9"/>
    </row>
    <row r="36" spans="2:12" x14ac:dyDescent="0.35">
      <c r="B36" s="67"/>
      <c r="C36" s="67"/>
      <c r="F36" s="9"/>
      <c r="G36" s="9"/>
      <c r="H36" s="9"/>
    </row>
    <row r="40" spans="2:12" x14ac:dyDescent="0.35">
      <c r="B40" s="67"/>
      <c r="C40" s="67"/>
      <c r="F40" s="9"/>
      <c r="G40" s="9"/>
      <c r="H40" s="9"/>
    </row>
    <row r="41" spans="2:12" x14ac:dyDescent="0.35">
      <c r="B41" s="67"/>
      <c r="C41" s="67"/>
      <c r="F41" s="9"/>
      <c r="G41" s="9"/>
      <c r="H41" s="9"/>
      <c r="K41" s="119"/>
    </row>
    <row r="42" spans="2:12" x14ac:dyDescent="0.35">
      <c r="B42" s="67"/>
      <c r="C42" s="67"/>
      <c r="F42" s="9"/>
      <c r="G42" s="9"/>
      <c r="H42" s="9"/>
      <c r="K42" s="119"/>
    </row>
    <row r="43" spans="2:12" x14ac:dyDescent="0.35">
      <c r="K43" s="119"/>
    </row>
    <row r="45" spans="2:12" x14ac:dyDescent="0.35">
      <c r="B45" s="67"/>
      <c r="C45" s="67"/>
      <c r="F45" s="9"/>
      <c r="G45" s="9"/>
      <c r="H45" s="9"/>
    </row>
    <row r="46" spans="2:12" x14ac:dyDescent="0.35">
      <c r="B46" s="67"/>
      <c r="C46" s="67"/>
      <c r="F46" s="9"/>
      <c r="G46" s="9"/>
      <c r="H46" s="9"/>
      <c r="L46" s="119"/>
    </row>
    <row r="51" spans="2:12" x14ac:dyDescent="0.35">
      <c r="G51" s="116"/>
      <c r="H51" s="116"/>
      <c r="K51"/>
      <c r="L51"/>
    </row>
    <row r="52" spans="2:12" x14ac:dyDescent="0.35">
      <c r="B52" s="67"/>
      <c r="C52" s="67"/>
      <c r="F52" s="9"/>
      <c r="G52" s="120"/>
      <c r="H52" s="120"/>
      <c r="K52"/>
      <c r="L52"/>
    </row>
    <row r="53" spans="2:12" x14ac:dyDescent="0.35">
      <c r="B53" s="67"/>
      <c r="C53" s="67"/>
      <c r="F53" s="9"/>
      <c r="G53" s="120"/>
      <c r="H53" s="120"/>
      <c r="K53"/>
      <c r="L53"/>
    </row>
    <row r="57" spans="2:12" x14ac:dyDescent="0.35">
      <c r="B57" s="67"/>
      <c r="C57" s="67"/>
      <c r="F57" s="9"/>
      <c r="G57" s="9"/>
      <c r="H57" s="9"/>
    </row>
    <row r="58" spans="2:12" x14ac:dyDescent="0.35">
      <c r="B58" s="67"/>
      <c r="C58" s="67"/>
      <c r="F58" s="9"/>
      <c r="G58" s="9"/>
      <c r="H58" s="9"/>
    </row>
    <row r="59" spans="2:12" x14ac:dyDescent="0.35">
      <c r="B59" s="67"/>
      <c r="C59" s="67"/>
      <c r="F59" s="9"/>
      <c r="G59" s="9"/>
      <c r="H59" s="9"/>
    </row>
    <row r="60" spans="2:12" x14ac:dyDescent="0.35">
      <c r="B60" s="67"/>
      <c r="C60" s="67"/>
      <c r="F60" s="9"/>
      <c r="G60" s="9"/>
      <c r="H60" s="9"/>
    </row>
    <row r="61" spans="2:12" x14ac:dyDescent="0.35">
      <c r="B61" s="67"/>
      <c r="C61" s="67"/>
      <c r="F61" s="9"/>
      <c r="G61" s="9"/>
      <c r="H61" s="9"/>
    </row>
    <row r="62" spans="2:12" x14ac:dyDescent="0.35">
      <c r="B62" s="67"/>
      <c r="C62" s="67"/>
      <c r="F62" s="9"/>
      <c r="G62" s="9"/>
      <c r="H62" s="9"/>
    </row>
    <row r="63" spans="2:12" x14ac:dyDescent="0.35">
      <c r="B63" s="67"/>
      <c r="C63" s="67"/>
      <c r="F63" s="9"/>
      <c r="G63" s="9"/>
      <c r="H63" s="9"/>
    </row>
  </sheetData>
  <pageMargins left="0.7" right="0.7" top="0.75" bottom="0.75" header="0.3" footer="0.3"/>
  <pageSetup orientation="portrait" horizontalDpi="1200" verticalDpi="1200" r:id="rId1"/>
  <drawing r:id="rId2"/>
  <legacyDrawing r:id="rId3"/>
  <controls>
    <mc:AlternateContent xmlns:mc="http://schemas.openxmlformats.org/markup-compatibility/2006">
      <mc:Choice Requires="x14">
        <control shapeId="59393" r:id="rId4" name="Control 1">
          <controlPr defaultSize="0" r:id="rId5">
            <anchor moveWithCells="1">
              <from>
                <xdr:col>0</xdr:col>
                <xdr:colOff>0</xdr:colOff>
                <xdr:row>18</xdr:row>
                <xdr:rowOff>0</xdr:rowOff>
              </from>
              <to>
                <xdr:col>0</xdr:col>
                <xdr:colOff>209550</xdr:colOff>
                <xdr:row>19</xdr:row>
                <xdr:rowOff>50800</xdr:rowOff>
              </to>
            </anchor>
          </controlPr>
        </control>
      </mc:Choice>
      <mc:Fallback>
        <control shapeId="59393" r:id="rId4" name="Control 1"/>
      </mc:Fallback>
    </mc:AlternateContent>
    <mc:AlternateContent xmlns:mc="http://schemas.openxmlformats.org/markup-compatibility/2006">
      <mc:Choice Requires="x14">
        <control shapeId="59394" r:id="rId6" name="Control 2">
          <controlPr defaultSize="0" r:id="rId5">
            <anchor moveWithCells="1">
              <from>
                <xdr:col>1</xdr:col>
                <xdr:colOff>0</xdr:colOff>
                <xdr:row>18</xdr:row>
                <xdr:rowOff>0</xdr:rowOff>
              </from>
              <to>
                <xdr:col>1</xdr:col>
                <xdr:colOff>209550</xdr:colOff>
                <xdr:row>19</xdr:row>
                <xdr:rowOff>50800</xdr:rowOff>
              </to>
            </anchor>
          </controlPr>
        </control>
      </mc:Choice>
      <mc:Fallback>
        <control shapeId="59394" r:id="rId6" name="Control 2"/>
      </mc:Fallback>
    </mc:AlternateContent>
    <mc:AlternateContent xmlns:mc="http://schemas.openxmlformats.org/markup-compatibility/2006">
      <mc:Choice Requires="x14">
        <control shapeId="59395" r:id="rId7" name="Control 3">
          <controlPr defaultSize="0" r:id="rId5">
            <anchor moveWithCells="1">
              <from>
                <xdr:col>1</xdr:col>
                <xdr:colOff>0</xdr:colOff>
                <xdr:row>18</xdr:row>
                <xdr:rowOff>0</xdr:rowOff>
              </from>
              <to>
                <xdr:col>1</xdr:col>
                <xdr:colOff>209550</xdr:colOff>
                <xdr:row>19</xdr:row>
                <xdr:rowOff>50800</xdr:rowOff>
              </to>
            </anchor>
          </controlPr>
        </control>
      </mc:Choice>
      <mc:Fallback>
        <control shapeId="59395" r:id="rId7" name="Control 3"/>
      </mc:Fallback>
    </mc:AlternateContent>
    <mc:AlternateContent xmlns:mc="http://schemas.openxmlformats.org/markup-compatibility/2006">
      <mc:Choice Requires="x14">
        <control shapeId="59396" r:id="rId8" name="Control 4">
          <controlPr defaultSize="0" r:id="rId5">
            <anchor moveWithCells="1">
              <from>
                <xdr:col>1</xdr:col>
                <xdr:colOff>0</xdr:colOff>
                <xdr:row>18</xdr:row>
                <xdr:rowOff>0</xdr:rowOff>
              </from>
              <to>
                <xdr:col>1</xdr:col>
                <xdr:colOff>209550</xdr:colOff>
                <xdr:row>19</xdr:row>
                <xdr:rowOff>50800</xdr:rowOff>
              </to>
            </anchor>
          </controlPr>
        </control>
      </mc:Choice>
      <mc:Fallback>
        <control shapeId="59396" r:id="rId8" name="Control 4"/>
      </mc:Fallback>
    </mc:AlternateContent>
    <mc:AlternateContent xmlns:mc="http://schemas.openxmlformats.org/markup-compatibility/2006">
      <mc:Choice Requires="x14">
        <control shapeId="59397" r:id="rId9" name="Control 5">
          <controlPr defaultSize="0" r:id="rId5">
            <anchor moveWithCells="1">
              <from>
                <xdr:col>1</xdr:col>
                <xdr:colOff>0</xdr:colOff>
                <xdr:row>18</xdr:row>
                <xdr:rowOff>0</xdr:rowOff>
              </from>
              <to>
                <xdr:col>1</xdr:col>
                <xdr:colOff>209550</xdr:colOff>
                <xdr:row>19</xdr:row>
                <xdr:rowOff>50800</xdr:rowOff>
              </to>
            </anchor>
          </controlPr>
        </control>
      </mc:Choice>
      <mc:Fallback>
        <control shapeId="59397" r:id="rId9" name="Control 5"/>
      </mc:Fallback>
    </mc:AlternateContent>
    <mc:AlternateContent xmlns:mc="http://schemas.openxmlformats.org/markup-compatibility/2006">
      <mc:Choice Requires="x14">
        <control shapeId="59398" r:id="rId10" name="Control 6">
          <controlPr defaultSize="0" r:id="rId5">
            <anchor moveWithCells="1">
              <from>
                <xdr:col>1</xdr:col>
                <xdr:colOff>0</xdr:colOff>
                <xdr:row>18</xdr:row>
                <xdr:rowOff>0</xdr:rowOff>
              </from>
              <to>
                <xdr:col>1</xdr:col>
                <xdr:colOff>209550</xdr:colOff>
                <xdr:row>19</xdr:row>
                <xdr:rowOff>50800</xdr:rowOff>
              </to>
            </anchor>
          </controlPr>
        </control>
      </mc:Choice>
      <mc:Fallback>
        <control shapeId="59398" r:id="rId10" name="Control 6"/>
      </mc:Fallback>
    </mc:AlternateContent>
    <mc:AlternateContent xmlns:mc="http://schemas.openxmlformats.org/markup-compatibility/2006">
      <mc:Choice Requires="x14">
        <control shapeId="59399" r:id="rId11" name="Control 7">
          <controlPr defaultSize="0" r:id="rId5">
            <anchor moveWithCells="1">
              <from>
                <xdr:col>1</xdr:col>
                <xdr:colOff>0</xdr:colOff>
                <xdr:row>18</xdr:row>
                <xdr:rowOff>0</xdr:rowOff>
              </from>
              <to>
                <xdr:col>1</xdr:col>
                <xdr:colOff>209550</xdr:colOff>
                <xdr:row>19</xdr:row>
                <xdr:rowOff>50800</xdr:rowOff>
              </to>
            </anchor>
          </controlPr>
        </control>
      </mc:Choice>
      <mc:Fallback>
        <control shapeId="59399" r:id="rId11" name="Control 7"/>
      </mc:Fallback>
    </mc:AlternateContent>
    <mc:AlternateContent xmlns:mc="http://schemas.openxmlformats.org/markup-compatibility/2006">
      <mc:Choice Requires="x14">
        <control shapeId="59400" r:id="rId12" name="Control 8">
          <controlPr defaultSize="0" r:id="rId5">
            <anchor moveWithCells="1">
              <from>
                <xdr:col>1</xdr:col>
                <xdr:colOff>0</xdr:colOff>
                <xdr:row>18</xdr:row>
                <xdr:rowOff>0</xdr:rowOff>
              </from>
              <to>
                <xdr:col>1</xdr:col>
                <xdr:colOff>209550</xdr:colOff>
                <xdr:row>19</xdr:row>
                <xdr:rowOff>50800</xdr:rowOff>
              </to>
            </anchor>
          </controlPr>
        </control>
      </mc:Choice>
      <mc:Fallback>
        <control shapeId="59400" r:id="rId12" name="Control 8"/>
      </mc:Fallback>
    </mc:AlternateContent>
    <mc:AlternateContent xmlns:mc="http://schemas.openxmlformats.org/markup-compatibility/2006">
      <mc:Choice Requires="x14">
        <control shapeId="59401" r:id="rId13" name="Control 9">
          <controlPr defaultSize="0" r:id="rId5">
            <anchor moveWithCells="1">
              <from>
                <xdr:col>1</xdr:col>
                <xdr:colOff>0</xdr:colOff>
                <xdr:row>18</xdr:row>
                <xdr:rowOff>0</xdr:rowOff>
              </from>
              <to>
                <xdr:col>1</xdr:col>
                <xdr:colOff>209550</xdr:colOff>
                <xdr:row>19</xdr:row>
                <xdr:rowOff>50800</xdr:rowOff>
              </to>
            </anchor>
          </controlPr>
        </control>
      </mc:Choice>
      <mc:Fallback>
        <control shapeId="59401" r:id="rId13" name="Control 9"/>
      </mc:Fallback>
    </mc:AlternateContent>
    <mc:AlternateContent xmlns:mc="http://schemas.openxmlformats.org/markup-compatibility/2006">
      <mc:Choice Requires="x14">
        <control shapeId="59402" r:id="rId14" name="Control 10">
          <controlPr defaultSize="0" r:id="rId5">
            <anchor moveWithCells="1">
              <from>
                <xdr:col>1</xdr:col>
                <xdr:colOff>0</xdr:colOff>
                <xdr:row>18</xdr:row>
                <xdr:rowOff>0</xdr:rowOff>
              </from>
              <to>
                <xdr:col>1</xdr:col>
                <xdr:colOff>209550</xdr:colOff>
                <xdr:row>19</xdr:row>
                <xdr:rowOff>50800</xdr:rowOff>
              </to>
            </anchor>
          </controlPr>
        </control>
      </mc:Choice>
      <mc:Fallback>
        <control shapeId="59402" r:id="rId14" name="Control 10"/>
      </mc:Fallback>
    </mc:AlternateContent>
    <mc:AlternateContent xmlns:mc="http://schemas.openxmlformats.org/markup-compatibility/2006">
      <mc:Choice Requires="x14">
        <control shapeId="59403" r:id="rId15" name="Control 11">
          <controlPr defaultSize="0" r:id="rId5">
            <anchor moveWithCells="1">
              <from>
                <xdr:col>1</xdr:col>
                <xdr:colOff>0</xdr:colOff>
                <xdr:row>18</xdr:row>
                <xdr:rowOff>0</xdr:rowOff>
              </from>
              <to>
                <xdr:col>1</xdr:col>
                <xdr:colOff>209550</xdr:colOff>
                <xdr:row>19</xdr:row>
                <xdr:rowOff>50800</xdr:rowOff>
              </to>
            </anchor>
          </controlPr>
        </control>
      </mc:Choice>
      <mc:Fallback>
        <control shapeId="59403" r:id="rId15" name="Control 11"/>
      </mc:Fallback>
    </mc:AlternateContent>
    <mc:AlternateContent xmlns:mc="http://schemas.openxmlformats.org/markup-compatibility/2006">
      <mc:Choice Requires="x14">
        <control shapeId="59404" r:id="rId16" name="Control 12">
          <controlPr defaultSize="0" r:id="rId5">
            <anchor moveWithCells="1">
              <from>
                <xdr:col>1</xdr:col>
                <xdr:colOff>0</xdr:colOff>
                <xdr:row>18</xdr:row>
                <xdr:rowOff>0</xdr:rowOff>
              </from>
              <to>
                <xdr:col>1</xdr:col>
                <xdr:colOff>209550</xdr:colOff>
                <xdr:row>19</xdr:row>
                <xdr:rowOff>50800</xdr:rowOff>
              </to>
            </anchor>
          </controlPr>
        </control>
      </mc:Choice>
      <mc:Fallback>
        <control shapeId="59404" r:id="rId16" name="Control 12"/>
      </mc:Fallback>
    </mc:AlternateContent>
  </control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L199"/>
  <sheetViews>
    <sheetView workbookViewId="0">
      <selection activeCell="L13" sqref="L13"/>
    </sheetView>
  </sheetViews>
  <sheetFormatPr defaultRowHeight="14.5" x14ac:dyDescent="0.35"/>
  <cols>
    <col min="4" max="4" width="11.54296875" style="200" bestFit="1" customWidth="1"/>
    <col min="5" max="5" width="9.7265625" style="200" bestFit="1" customWidth="1"/>
    <col min="6" max="6" width="20.453125" style="207" bestFit="1" customWidth="1"/>
    <col min="7" max="7" width="8.7265625" style="206"/>
    <col min="8" max="8" width="10.81640625" style="49" bestFit="1" customWidth="1"/>
    <col min="9" max="9" width="14.1796875" bestFit="1" customWidth="1"/>
    <col min="10" max="10" width="9.7265625" bestFit="1" customWidth="1"/>
    <col min="13" max="13" width="9.81640625" bestFit="1" customWidth="1"/>
    <col min="14" max="14" width="15.6328125" customWidth="1"/>
  </cols>
  <sheetData>
    <row r="1" spans="3:12" x14ac:dyDescent="0.35">
      <c r="C1" t="s">
        <v>378</v>
      </c>
      <c r="E1" s="200" t="s">
        <v>642</v>
      </c>
      <c r="F1" s="207" t="s">
        <v>643</v>
      </c>
      <c r="H1" s="49" t="s">
        <v>664</v>
      </c>
      <c r="I1" s="262" t="s">
        <v>677</v>
      </c>
      <c r="J1" t="s">
        <v>676</v>
      </c>
    </row>
    <row r="2" spans="3:12" x14ac:dyDescent="0.35">
      <c r="D2" s="257" t="s">
        <v>33</v>
      </c>
      <c r="E2" s="257" t="s">
        <v>642</v>
      </c>
      <c r="F2" s="207" t="s">
        <v>643</v>
      </c>
      <c r="G2" s="257"/>
      <c r="H2" s="49" t="s">
        <v>664</v>
      </c>
      <c r="I2" s="49"/>
      <c r="L2">
        <v>38</v>
      </c>
    </row>
    <row r="3" spans="3:12" x14ac:dyDescent="0.35">
      <c r="D3" s="257" t="s">
        <v>658</v>
      </c>
      <c r="E3" s="257">
        <v>37895</v>
      </c>
      <c r="F3" s="257">
        <v>10878</v>
      </c>
      <c r="G3" s="257">
        <f>SUM(E3:F3)</f>
        <v>48773</v>
      </c>
      <c r="H3" s="49">
        <v>4.4999999999999998E-2</v>
      </c>
      <c r="I3" s="49"/>
      <c r="L3">
        <v>10</v>
      </c>
    </row>
    <row r="4" spans="3:12" x14ac:dyDescent="0.35">
      <c r="D4" s="257" t="s">
        <v>659</v>
      </c>
      <c r="E4" s="257">
        <v>86812</v>
      </c>
      <c r="F4" s="257">
        <v>103724</v>
      </c>
      <c r="G4" s="257">
        <f>SUM(E4:F4)</f>
        <v>190536</v>
      </c>
      <c r="L4">
        <v>6</v>
      </c>
    </row>
    <row r="5" spans="3:12" x14ac:dyDescent="0.35">
      <c r="D5" s="257" t="s">
        <v>663</v>
      </c>
      <c r="E5" s="257">
        <f>SUM(E3:E4)</f>
        <v>124707</v>
      </c>
      <c r="F5" s="257">
        <f>SUM(F3:F4)</f>
        <v>114602</v>
      </c>
      <c r="G5" s="257">
        <f>SUM(E5:F5)</f>
        <v>239309</v>
      </c>
      <c r="L5">
        <f>(L2-L3)/L4</f>
        <v>4.666666666666667</v>
      </c>
    </row>
    <row r="6" spans="3:12" x14ac:dyDescent="0.35">
      <c r="D6" s="257" t="s">
        <v>663</v>
      </c>
      <c r="E6" s="49">
        <f>E5/$G5</f>
        <v>0.52111287080719904</v>
      </c>
      <c r="F6" s="49">
        <f>F5/$G5</f>
        <v>0.47888712919280096</v>
      </c>
      <c r="G6" s="257"/>
    </row>
    <row r="7" spans="3:12" x14ac:dyDescent="0.35">
      <c r="C7" t="str">
        <f>D2</f>
        <v>T</v>
      </c>
      <c r="D7" s="200" t="s">
        <v>658</v>
      </c>
      <c r="E7" s="49">
        <f>E3/$G3</f>
        <v>0.77696676439833512</v>
      </c>
      <c r="F7" s="49">
        <f>F3/$G3</f>
        <v>0.22303323560166485</v>
      </c>
      <c r="H7" s="49">
        <f>H3</f>
        <v>4.4999999999999998E-2</v>
      </c>
      <c r="I7" t="str">
        <f>IF(OR(AND(F7&gt;0.5,H3&gt;0),AND(F7&lt;0.5,H3&lt;0)),"CORRECT","WRONG")</f>
        <v>WRONG</v>
      </c>
      <c r="J7" t="str">
        <f>IF(F7&gt;0.5,"BULLISH","BEARISH")</f>
        <v>BEARISH</v>
      </c>
      <c r="L7">
        <f>440/24</f>
        <v>18.333333333333332</v>
      </c>
    </row>
    <row r="8" spans="3:12" x14ac:dyDescent="0.35">
      <c r="C8" t="str">
        <f>D2</f>
        <v>T</v>
      </c>
      <c r="D8" s="257" t="s">
        <v>659</v>
      </c>
      <c r="E8" s="49">
        <f>E4/$G4</f>
        <v>0.45561993534030315</v>
      </c>
      <c r="F8" s="49">
        <f>F4/$G4</f>
        <v>0.54438006465969691</v>
      </c>
      <c r="H8" s="49">
        <f>H3</f>
        <v>4.4999999999999998E-2</v>
      </c>
      <c r="I8" t="str">
        <f>IF(OR(AND(F8&gt;0.5,H3&gt;0),AND(F8&lt;0.5,H3&lt;0)),"CORRECT","WRONG")</f>
        <v>CORRECT</v>
      </c>
      <c r="J8" t="str">
        <f>IF(F8&gt;0.5,"BULLISH","BEARISH")</f>
        <v>BULLISH</v>
      </c>
      <c r="L8">
        <f>770/24</f>
        <v>32.083333333333336</v>
      </c>
    </row>
    <row r="10" spans="3:12" x14ac:dyDescent="0.35">
      <c r="L10">
        <f>150/24</f>
        <v>6.25</v>
      </c>
    </row>
    <row r="11" spans="3:12" x14ac:dyDescent="0.35">
      <c r="D11" s="257" t="s">
        <v>632</v>
      </c>
      <c r="E11" s="257" t="s">
        <v>642</v>
      </c>
      <c r="F11" s="8" t="s">
        <v>643</v>
      </c>
      <c r="G11" s="257"/>
      <c r="H11" s="49" t="s">
        <v>664</v>
      </c>
      <c r="L11">
        <f>130/24</f>
        <v>5.416666666666667</v>
      </c>
    </row>
    <row r="12" spans="3:12" x14ac:dyDescent="0.35">
      <c r="D12" s="257" t="s">
        <v>658</v>
      </c>
      <c r="E12" s="257">
        <v>358</v>
      </c>
      <c r="F12" s="257">
        <v>3940</v>
      </c>
      <c r="G12" s="257">
        <f>SUM(E12:F12)</f>
        <v>4298</v>
      </c>
      <c r="H12" s="49">
        <v>4.2000000000000003E-2</v>
      </c>
    </row>
    <row r="13" spans="3:12" x14ac:dyDescent="0.35">
      <c r="D13" s="257" t="s">
        <v>659</v>
      </c>
      <c r="E13" s="257">
        <v>8838</v>
      </c>
      <c r="F13" s="257">
        <v>16744</v>
      </c>
      <c r="G13" s="257">
        <f>SUM(E13:F13)</f>
        <v>25582</v>
      </c>
      <c r="L13">
        <f>150/770</f>
        <v>0.19480519480519481</v>
      </c>
    </row>
    <row r="14" spans="3:12" x14ac:dyDescent="0.35">
      <c r="D14" s="257" t="s">
        <v>663</v>
      </c>
      <c r="E14" s="257">
        <f>SUM(E12:E13)</f>
        <v>9196</v>
      </c>
      <c r="F14" s="257">
        <f>SUM(F12:F13)</f>
        <v>20684</v>
      </c>
      <c r="G14" s="257">
        <f>SUM(E14:F14)</f>
        <v>29880</v>
      </c>
    </row>
    <row r="15" spans="3:12" x14ac:dyDescent="0.35">
      <c r="D15" s="257" t="s">
        <v>663</v>
      </c>
      <c r="E15" s="49">
        <f>E14/$G14</f>
        <v>0.30776439089692104</v>
      </c>
      <c r="F15" s="49">
        <f>F14/$G14</f>
        <v>0.69223560910307902</v>
      </c>
      <c r="G15" s="257"/>
    </row>
    <row r="16" spans="3:12" x14ac:dyDescent="0.35">
      <c r="C16" t="str">
        <f>D11</f>
        <v>MRK</v>
      </c>
      <c r="D16" s="257" t="s">
        <v>658</v>
      </c>
      <c r="E16" s="49">
        <f>E12/$G12</f>
        <v>8.3294555607259194E-2</v>
      </c>
      <c r="F16" s="49">
        <f>F12/$G12</f>
        <v>0.91670544439274082</v>
      </c>
      <c r="G16" s="257"/>
      <c r="H16" s="49">
        <f>H12</f>
        <v>4.2000000000000003E-2</v>
      </c>
      <c r="I16" t="str">
        <f>IF(OR(AND(F16&gt;0.5,H12&gt;0),AND(F16&lt;0.5,H12&lt;0)),"CORRECT","WRONG")</f>
        <v>CORRECT</v>
      </c>
      <c r="J16" t="str">
        <f>IF(F16&gt;0.5,"BULLISH","BEARISH")</f>
        <v>BULLISH</v>
      </c>
    </row>
    <row r="17" spans="3:10" x14ac:dyDescent="0.35">
      <c r="C17" t="str">
        <f>D11</f>
        <v>MRK</v>
      </c>
      <c r="D17" s="257" t="s">
        <v>659</v>
      </c>
      <c r="E17" s="49">
        <f>E13/$G13</f>
        <v>0.34547728871863026</v>
      </c>
      <c r="F17" s="49">
        <f>F13/$G13</f>
        <v>0.65452271128136974</v>
      </c>
      <c r="G17" s="257"/>
      <c r="H17" s="49">
        <f>H12</f>
        <v>4.2000000000000003E-2</v>
      </c>
      <c r="I17" t="str">
        <f>IF(OR(AND(F17&gt;0.5,H12&gt;0),AND(F17&lt;0.5,H12&lt;0)),"CORRECT","WRONG")</f>
        <v>CORRECT</v>
      </c>
      <c r="J17" t="str">
        <f>IF(F17&gt;0.5,"BULLISH","BEARISH")</f>
        <v>BULLISH</v>
      </c>
    </row>
    <row r="20" spans="3:10" x14ac:dyDescent="0.35">
      <c r="D20" s="257" t="s">
        <v>87</v>
      </c>
      <c r="E20" s="257" t="s">
        <v>642</v>
      </c>
      <c r="F20" s="8" t="s">
        <v>643</v>
      </c>
      <c r="G20" s="257"/>
      <c r="H20" s="49" t="s">
        <v>664</v>
      </c>
    </row>
    <row r="21" spans="3:10" x14ac:dyDescent="0.35">
      <c r="D21" s="257" t="s">
        <v>658</v>
      </c>
      <c r="E21" s="257">
        <v>16535</v>
      </c>
      <c r="F21" s="257">
        <v>26235</v>
      </c>
      <c r="G21" s="257">
        <f>SUM(E21:F21)</f>
        <v>42770</v>
      </c>
      <c r="H21" s="49">
        <v>-0.03</v>
      </c>
    </row>
    <row r="22" spans="3:10" x14ac:dyDescent="0.35">
      <c r="D22" s="257" t="s">
        <v>659</v>
      </c>
      <c r="E22" s="257">
        <v>26235</v>
      </c>
      <c r="F22" s="257">
        <v>80964</v>
      </c>
      <c r="G22" s="257">
        <f>SUM(E22:F22)</f>
        <v>107199</v>
      </c>
    </row>
    <row r="23" spans="3:10" x14ac:dyDescent="0.35">
      <c r="D23" s="257" t="s">
        <v>663</v>
      </c>
      <c r="E23" s="257">
        <f>SUM(E21:E22)</f>
        <v>42770</v>
      </c>
      <c r="F23" s="257">
        <f>SUM(F21:F22)</f>
        <v>107199</v>
      </c>
      <c r="G23" s="257">
        <f>SUM(E23:F23)</f>
        <v>149969</v>
      </c>
    </row>
    <row r="24" spans="3:10" x14ac:dyDescent="0.35">
      <c r="D24" s="257" t="s">
        <v>663</v>
      </c>
      <c r="E24" s="49">
        <f>E23/$G23</f>
        <v>0.28519227306976774</v>
      </c>
      <c r="F24" s="49">
        <f>F23/$G23</f>
        <v>0.7148077269302322</v>
      </c>
      <c r="G24" s="257"/>
    </row>
    <row r="25" spans="3:10" x14ac:dyDescent="0.35">
      <c r="C25" t="str">
        <f>D20</f>
        <v>AMZN</v>
      </c>
      <c r="D25" s="257" t="s">
        <v>658</v>
      </c>
      <c r="E25" s="49">
        <f>E21/$G21</f>
        <v>0.38660275894318447</v>
      </c>
      <c r="F25" s="49">
        <f>F21/$G21</f>
        <v>0.61339724105681548</v>
      </c>
      <c r="G25" s="257"/>
      <c r="H25" s="49">
        <f>H21</f>
        <v>-0.03</v>
      </c>
      <c r="I25" t="str">
        <f>IF(OR(AND(F25&gt;0.5,H21&gt;0),AND(F25&lt;0.5,H21&lt;0)),"CORRECT","WRONG")</f>
        <v>WRONG</v>
      </c>
      <c r="J25" t="str">
        <f>IF(F25&gt;0.5,"BULLISH","BEARISH")</f>
        <v>BULLISH</v>
      </c>
    </row>
    <row r="26" spans="3:10" x14ac:dyDescent="0.35">
      <c r="C26" t="str">
        <f>D20</f>
        <v>AMZN</v>
      </c>
      <c r="D26" s="257" t="s">
        <v>659</v>
      </c>
      <c r="E26" s="49">
        <f>E22/$G22</f>
        <v>0.2447317605574679</v>
      </c>
      <c r="F26" s="49">
        <f>F22/$G22</f>
        <v>0.75526823944253207</v>
      </c>
      <c r="G26" s="257"/>
      <c r="H26" s="49">
        <f>H21</f>
        <v>-0.03</v>
      </c>
      <c r="I26" t="str">
        <f>IF(OR(AND(F26&gt;0.5,H21&gt;0),AND(F26&lt;0.5,H21&lt;0)),"CORRECT","WRONG")</f>
        <v>WRONG</v>
      </c>
      <c r="J26" t="str">
        <f>IF(F26&gt;0.5,"BULLISH","BEARISH")</f>
        <v>BULLISH</v>
      </c>
    </row>
    <row r="29" spans="3:10" x14ac:dyDescent="0.35">
      <c r="D29" s="257" t="s">
        <v>368</v>
      </c>
      <c r="E29" s="257" t="s">
        <v>642</v>
      </c>
      <c r="F29" s="8" t="s">
        <v>643</v>
      </c>
      <c r="G29" s="257"/>
      <c r="H29" s="49" t="s">
        <v>664</v>
      </c>
    </row>
    <row r="30" spans="3:10" x14ac:dyDescent="0.35">
      <c r="D30" s="257" t="s">
        <v>658</v>
      </c>
      <c r="E30" s="257">
        <v>32964</v>
      </c>
      <c r="F30" s="257">
        <v>31700</v>
      </c>
      <c r="G30" s="257">
        <f>SUM(E30:F30)</f>
        <v>64664</v>
      </c>
      <c r="H30" s="49">
        <v>-0.03</v>
      </c>
    </row>
    <row r="31" spans="3:10" x14ac:dyDescent="0.35">
      <c r="D31" s="257" t="s">
        <v>659</v>
      </c>
      <c r="E31" s="257">
        <v>16268</v>
      </c>
      <c r="F31" s="257">
        <v>15224</v>
      </c>
      <c r="G31" s="257">
        <f>SUM(E31:F31)</f>
        <v>31492</v>
      </c>
    </row>
    <row r="32" spans="3:10" x14ac:dyDescent="0.35">
      <c r="D32" s="257" t="s">
        <v>663</v>
      </c>
      <c r="E32" s="257">
        <f>SUM(E30:E31)</f>
        <v>49232</v>
      </c>
      <c r="F32" s="257">
        <f>SUM(F30:F31)</f>
        <v>46924</v>
      </c>
      <c r="G32" s="257">
        <f>SUM(E32:F32)</f>
        <v>96156</v>
      </c>
    </row>
    <row r="33" spans="3:10" x14ac:dyDescent="0.35">
      <c r="D33" s="257" t="s">
        <v>663</v>
      </c>
      <c r="E33" s="49">
        <f>E32/$G32</f>
        <v>0.51200133117018176</v>
      </c>
      <c r="F33" s="49">
        <f>F32/$G32</f>
        <v>0.48799866882981824</v>
      </c>
      <c r="G33" s="257"/>
    </row>
    <row r="34" spans="3:10" x14ac:dyDescent="0.35">
      <c r="C34" t="str">
        <f>D29</f>
        <v>GOOG</v>
      </c>
      <c r="D34" s="257" t="s">
        <v>658</v>
      </c>
      <c r="E34" s="49">
        <f>E30/$G30</f>
        <v>0.50977359891129526</v>
      </c>
      <c r="F34" s="49">
        <f>F30/$G30</f>
        <v>0.49022640108870469</v>
      </c>
      <c r="G34" s="257"/>
      <c r="H34" s="49">
        <f>H30</f>
        <v>-0.03</v>
      </c>
      <c r="I34" t="str">
        <f>IF(OR(AND(F34&gt;0.5,H30&gt;0),AND(F34&lt;0.5,H30&lt;0)),"CORRECT","WRONG")</f>
        <v>CORRECT</v>
      </c>
      <c r="J34" t="str">
        <f>IF(F34&gt;0.5,"BULLISH","BEARISH")</f>
        <v>BEARISH</v>
      </c>
    </row>
    <row r="35" spans="3:10" x14ac:dyDescent="0.35">
      <c r="C35" t="str">
        <f>D29</f>
        <v>GOOG</v>
      </c>
      <c r="D35" s="257" t="s">
        <v>659</v>
      </c>
      <c r="E35" s="49">
        <f>E31/$G31</f>
        <v>0.51657563825733521</v>
      </c>
      <c r="F35" s="49">
        <f>F31/$G31</f>
        <v>0.48342436174266479</v>
      </c>
      <c r="G35" s="257"/>
      <c r="H35" s="49">
        <f>H30</f>
        <v>-0.03</v>
      </c>
      <c r="I35" t="str">
        <f>IF(OR(AND(F35&gt;0.5,H30&gt;0),AND(F35&lt;0.5,H30&lt;0)),"CORRECT","WRONG")</f>
        <v>CORRECT</v>
      </c>
      <c r="J35" t="str">
        <f>IF(F35&gt;0.5,"BULLISH","BEARISH")</f>
        <v>BEARISH</v>
      </c>
    </row>
    <row r="38" spans="3:10" x14ac:dyDescent="0.35">
      <c r="D38" s="257" t="s">
        <v>628</v>
      </c>
      <c r="E38" s="257" t="s">
        <v>642</v>
      </c>
      <c r="F38" s="8" t="s">
        <v>643</v>
      </c>
      <c r="G38" s="257"/>
      <c r="H38" s="49" t="s">
        <v>664</v>
      </c>
      <c r="I38" s="49"/>
    </row>
    <row r="39" spans="3:10" x14ac:dyDescent="0.35">
      <c r="D39" s="257" t="s">
        <v>658</v>
      </c>
      <c r="E39" s="257">
        <v>5578</v>
      </c>
      <c r="F39" s="257">
        <v>10815</v>
      </c>
      <c r="G39" s="257">
        <f>SUM(E39:F39)</f>
        <v>16393</v>
      </c>
      <c r="H39" s="49">
        <v>-6.3E-2</v>
      </c>
      <c r="I39" s="49"/>
    </row>
    <row r="40" spans="3:10" x14ac:dyDescent="0.35">
      <c r="D40" s="257" t="s">
        <v>659</v>
      </c>
      <c r="E40" s="257">
        <v>12070</v>
      </c>
      <c r="F40" s="257">
        <v>20310</v>
      </c>
      <c r="G40" s="257">
        <f>SUM(E40:F40)</f>
        <v>32380</v>
      </c>
    </row>
    <row r="41" spans="3:10" x14ac:dyDescent="0.35">
      <c r="D41" s="257" t="s">
        <v>663</v>
      </c>
      <c r="E41" s="257">
        <f>SUM(E39:E40)</f>
        <v>17648</v>
      </c>
      <c r="F41" s="257">
        <f>SUM(F39:F40)</f>
        <v>31125</v>
      </c>
      <c r="G41" s="257">
        <f>SUM(E41:F41)</f>
        <v>48773</v>
      </c>
    </row>
    <row r="42" spans="3:10" x14ac:dyDescent="0.35">
      <c r="D42" s="257" t="s">
        <v>663</v>
      </c>
      <c r="E42" s="49">
        <f>E41/$G41</f>
        <v>0.36183954236975374</v>
      </c>
      <c r="F42" s="49">
        <f>F41/$G41</f>
        <v>0.6381604576302462</v>
      </c>
      <c r="G42" s="257"/>
    </row>
    <row r="43" spans="3:10" x14ac:dyDescent="0.35">
      <c r="C43" t="str">
        <f>D38</f>
        <v>WYNN</v>
      </c>
      <c r="D43" s="257" t="s">
        <v>658</v>
      </c>
      <c r="E43" s="49">
        <f>E39/$G39</f>
        <v>0.3402671872140548</v>
      </c>
      <c r="F43" s="49">
        <f>F39/$G39</f>
        <v>0.6597328127859452</v>
      </c>
      <c r="G43" s="257"/>
      <c r="H43" s="49">
        <f>H39</f>
        <v>-6.3E-2</v>
      </c>
      <c r="I43" t="str">
        <f>IF(OR(AND(F43&gt;0.5,H39&gt;0),AND(F43&lt;0.5,H39&lt;0)),"CORRECT","WRONG")</f>
        <v>WRONG</v>
      </c>
      <c r="J43" t="str">
        <f>IF(F43&gt;0.5,"BULLISH","BEARISH")</f>
        <v>BULLISH</v>
      </c>
    </row>
    <row r="44" spans="3:10" x14ac:dyDescent="0.35">
      <c r="C44" t="str">
        <f>D38</f>
        <v>WYNN</v>
      </c>
      <c r="D44" s="257" t="s">
        <v>659</v>
      </c>
      <c r="E44" s="49">
        <f>E40/$G40</f>
        <v>0.37276096355775168</v>
      </c>
      <c r="F44" s="49">
        <f>F40/$G40</f>
        <v>0.62723903644224832</v>
      </c>
      <c r="G44" s="257"/>
      <c r="H44" s="49">
        <f>H39</f>
        <v>-6.3E-2</v>
      </c>
      <c r="I44" t="str">
        <f>IF(OR(AND(F44&gt;0.5,H39&gt;0),AND(F44&lt;0.5,H39&lt;0)),"CORRECT","WRONG")</f>
        <v>WRONG</v>
      </c>
      <c r="J44" t="str">
        <f>IF(F44&gt;0.5,"BULLISH","BEARISH")</f>
        <v>BULLISH</v>
      </c>
    </row>
    <row r="47" spans="3:10" x14ac:dyDescent="0.35">
      <c r="D47" s="257" t="s">
        <v>374</v>
      </c>
      <c r="E47" s="257" t="s">
        <v>642</v>
      </c>
      <c r="F47" s="8" t="s">
        <v>643</v>
      </c>
      <c r="G47" s="257"/>
      <c r="H47" s="49" t="s">
        <v>664</v>
      </c>
    </row>
    <row r="48" spans="3:10" x14ac:dyDescent="0.35">
      <c r="D48" s="257" t="s">
        <v>658</v>
      </c>
      <c r="E48" s="257">
        <v>16690</v>
      </c>
      <c r="F48" s="257">
        <v>36098</v>
      </c>
      <c r="G48" s="257">
        <f>SUM(E48:F48)</f>
        <v>52788</v>
      </c>
      <c r="H48" s="49">
        <v>-0.15</v>
      </c>
    </row>
    <row r="49" spans="3:10" x14ac:dyDescent="0.35">
      <c r="D49" s="257" t="s">
        <v>659</v>
      </c>
      <c r="E49" s="257">
        <v>135496</v>
      </c>
      <c r="F49" s="257">
        <v>123690</v>
      </c>
      <c r="G49" s="257">
        <f>SUM(E49:F49)</f>
        <v>259186</v>
      </c>
    </row>
    <row r="50" spans="3:10" x14ac:dyDescent="0.35">
      <c r="D50" s="257" t="s">
        <v>663</v>
      </c>
      <c r="E50" s="257">
        <f>SUM(E48:E49)</f>
        <v>152186</v>
      </c>
      <c r="F50" s="257">
        <f>SUM(F48:F49)</f>
        <v>159788</v>
      </c>
      <c r="G50" s="257">
        <f>SUM(E50:F50)</f>
        <v>311974</v>
      </c>
    </row>
    <row r="51" spans="3:10" x14ac:dyDescent="0.35">
      <c r="D51" s="257" t="s">
        <v>663</v>
      </c>
      <c r="E51" s="49">
        <f>E50/$G50</f>
        <v>0.48781629238333962</v>
      </c>
      <c r="F51" s="49">
        <f>F50/$G50</f>
        <v>0.51218370761666032</v>
      </c>
      <c r="G51" s="257"/>
    </row>
    <row r="52" spans="3:10" x14ac:dyDescent="0.35">
      <c r="C52" t="str">
        <f>D47</f>
        <v>TWTR</v>
      </c>
      <c r="D52" s="257" t="s">
        <v>658</v>
      </c>
      <c r="E52" s="49">
        <f>E48/$G48</f>
        <v>0.31617034174433584</v>
      </c>
      <c r="F52" s="49">
        <f>F48/$G48</f>
        <v>0.68382965825566422</v>
      </c>
      <c r="G52" s="257"/>
      <c r="H52" s="49">
        <f>H48</f>
        <v>-0.15</v>
      </c>
      <c r="I52" t="str">
        <f>IF(OR(AND(F52&gt;0.5,H48&gt;0),AND(F52&lt;0.5,H48&lt;0)),"CORRECT","WRONG")</f>
        <v>WRONG</v>
      </c>
      <c r="J52" t="str">
        <f>IF(F52&gt;0.5,"BULLISH","BEARISH")</f>
        <v>BULLISH</v>
      </c>
    </row>
    <row r="53" spans="3:10" x14ac:dyDescent="0.35">
      <c r="C53" t="str">
        <f>D47</f>
        <v>TWTR</v>
      </c>
      <c r="D53" s="257" t="s">
        <v>659</v>
      </c>
      <c r="E53" s="49">
        <f>E49/$G49</f>
        <v>0.5227751498923553</v>
      </c>
      <c r="F53" s="49">
        <f>F49/$G49</f>
        <v>0.4772248501076447</v>
      </c>
      <c r="G53" s="257"/>
      <c r="H53" s="49">
        <f>H48</f>
        <v>-0.15</v>
      </c>
      <c r="I53" t="str">
        <f>IF(OR(AND(F53&gt;0.5,H48&gt;0),AND(F53&lt;0.5,H48&lt;0)),"CORRECT","WRONG")</f>
        <v>CORRECT</v>
      </c>
      <c r="J53" t="str">
        <f>IF(F53&gt;0.5,"BULLISH","BEARISH")</f>
        <v>BEARISH</v>
      </c>
    </row>
    <row r="56" spans="3:10" x14ac:dyDescent="0.35">
      <c r="D56" s="257" t="s">
        <v>625</v>
      </c>
      <c r="E56" s="257" t="s">
        <v>642</v>
      </c>
      <c r="F56" s="8" t="s">
        <v>643</v>
      </c>
      <c r="G56" s="257"/>
      <c r="H56" s="49" t="s">
        <v>664</v>
      </c>
    </row>
    <row r="57" spans="3:10" x14ac:dyDescent="0.35">
      <c r="D57" s="257" t="s">
        <v>658</v>
      </c>
      <c r="E57" s="257">
        <v>1140</v>
      </c>
      <c r="F57" s="257">
        <v>570</v>
      </c>
      <c r="G57" s="257">
        <f>SUM(E57:F57)</f>
        <v>1710</v>
      </c>
      <c r="H57" s="49">
        <v>-1.9E-2</v>
      </c>
    </row>
    <row r="58" spans="3:10" x14ac:dyDescent="0.35">
      <c r="D58" s="257" t="s">
        <v>659</v>
      </c>
      <c r="E58" s="257">
        <v>2648</v>
      </c>
      <c r="F58" s="257">
        <v>1338</v>
      </c>
      <c r="G58" s="257">
        <f>SUM(E58:F58)</f>
        <v>3986</v>
      </c>
    </row>
    <row r="59" spans="3:10" x14ac:dyDescent="0.35">
      <c r="D59" s="257" t="s">
        <v>663</v>
      </c>
      <c r="E59" s="257">
        <f>SUM(E57:E58)</f>
        <v>3788</v>
      </c>
      <c r="F59" s="257">
        <f>SUM(F57:F58)</f>
        <v>1908</v>
      </c>
      <c r="G59" s="257">
        <f>SUM(E59:F59)</f>
        <v>5696</v>
      </c>
    </row>
    <row r="60" spans="3:10" x14ac:dyDescent="0.35">
      <c r="D60" s="257" t="s">
        <v>663</v>
      </c>
      <c r="E60" s="49">
        <f>E59/$G59</f>
        <v>0.66502808988764039</v>
      </c>
      <c r="F60" s="49">
        <f>F59/$G59</f>
        <v>0.33497191011235955</v>
      </c>
      <c r="G60" s="257"/>
    </row>
    <row r="61" spans="3:10" x14ac:dyDescent="0.35">
      <c r="C61" t="str">
        <f>D56</f>
        <v>DISH</v>
      </c>
      <c r="D61" s="257" t="s">
        <v>658</v>
      </c>
      <c r="E61" s="49">
        <f>E57/$G57</f>
        <v>0.66666666666666663</v>
      </c>
      <c r="F61" s="49">
        <f>F57/$G57</f>
        <v>0.33333333333333331</v>
      </c>
      <c r="G61" s="257"/>
      <c r="H61" s="49">
        <f>H57</f>
        <v>-1.9E-2</v>
      </c>
      <c r="I61" t="str">
        <f>IF(OR(AND(F61&gt;0.5,H57&gt;0),AND(F61&lt;0.5,H57&lt;0)),"CORRECT","WRONG")</f>
        <v>CORRECT</v>
      </c>
      <c r="J61" t="str">
        <f>IF(F61&gt;0.5,"BULLISH","BEARISH")</f>
        <v>BEARISH</v>
      </c>
    </row>
    <row r="62" spans="3:10" x14ac:dyDescent="0.35">
      <c r="C62" t="str">
        <f>D56</f>
        <v>DISH</v>
      </c>
      <c r="D62" s="257" t="s">
        <v>659</v>
      </c>
      <c r="E62" s="49">
        <f>E58/$G58</f>
        <v>0.66432513798294024</v>
      </c>
      <c r="F62" s="49">
        <f>F58/$G58</f>
        <v>0.33567486201705971</v>
      </c>
      <c r="G62" s="257"/>
      <c r="H62" s="49">
        <f>H57</f>
        <v>-1.9E-2</v>
      </c>
      <c r="I62" t="str">
        <f>IF(OR(AND(F62&gt;0.5,H57&gt;0),AND(F62&lt;0.5,H57&lt;0)),"CORRECT","WRONG")</f>
        <v>CORRECT</v>
      </c>
      <c r="J62" t="str">
        <f>IF(F62&gt;0.5,"BULLISH","BEARISH")</f>
        <v>BEARISH</v>
      </c>
    </row>
    <row r="66" spans="3:10" x14ac:dyDescent="0.35">
      <c r="D66" s="258" t="s">
        <v>620</v>
      </c>
      <c r="E66" s="258" t="s">
        <v>642</v>
      </c>
      <c r="F66" s="8" t="s">
        <v>643</v>
      </c>
      <c r="G66" s="258"/>
      <c r="H66" s="49" t="s">
        <v>664</v>
      </c>
    </row>
    <row r="67" spans="3:10" x14ac:dyDescent="0.35">
      <c r="D67" s="258" t="s">
        <v>658</v>
      </c>
      <c r="E67" s="258">
        <v>832</v>
      </c>
      <c r="F67" s="258">
        <v>1380</v>
      </c>
      <c r="G67" s="258">
        <f>SUM(E67:F67)</f>
        <v>2212</v>
      </c>
      <c r="H67" s="49">
        <v>1.7000000000000001E-2</v>
      </c>
    </row>
    <row r="68" spans="3:10" x14ac:dyDescent="0.35">
      <c r="D68" s="258" t="s">
        <v>659</v>
      </c>
      <c r="E68" s="258">
        <v>8772</v>
      </c>
      <c r="F68" s="258">
        <v>14898</v>
      </c>
      <c r="G68" s="258">
        <f>SUM(E68:F68)</f>
        <v>23670</v>
      </c>
    </row>
    <row r="69" spans="3:10" x14ac:dyDescent="0.35">
      <c r="D69" s="258" t="s">
        <v>663</v>
      </c>
      <c r="E69" s="258">
        <f>SUM(E67:E68)</f>
        <v>9604</v>
      </c>
      <c r="F69" s="258">
        <f>SUM(F67:F68)</f>
        <v>16278</v>
      </c>
      <c r="G69" s="258">
        <f>SUM(E69:F69)</f>
        <v>25882</v>
      </c>
    </row>
    <row r="70" spans="3:10" x14ac:dyDescent="0.35">
      <c r="D70" s="258" t="s">
        <v>663</v>
      </c>
      <c r="E70" s="49">
        <f>E69/$G69</f>
        <v>0.3710686963913144</v>
      </c>
      <c r="F70" s="49">
        <f>F69/$G69</f>
        <v>0.62893130360868554</v>
      </c>
      <c r="G70" s="258"/>
    </row>
    <row r="71" spans="3:10" x14ac:dyDescent="0.35">
      <c r="C71" t="str">
        <f>D66</f>
        <v>NOW</v>
      </c>
      <c r="D71" s="258" t="s">
        <v>658</v>
      </c>
      <c r="E71" s="49">
        <f>E67/$G67</f>
        <v>0.37613019891500904</v>
      </c>
      <c r="F71" s="49">
        <f>F67/$G67</f>
        <v>0.6238698010849909</v>
      </c>
      <c r="G71" s="258"/>
      <c r="H71" s="49">
        <f>H67</f>
        <v>1.7000000000000001E-2</v>
      </c>
      <c r="I71" t="str">
        <f>IF(OR(AND(F71&gt;0.5,H67&gt;0),AND(F71&lt;0.5,H67&lt;0)),"CORRECT","WRONG")</f>
        <v>CORRECT</v>
      </c>
      <c r="J71" t="str">
        <f>IF(F71&gt;0.5,"BULLISH","BEARISH")</f>
        <v>BULLISH</v>
      </c>
    </row>
    <row r="72" spans="3:10" x14ac:dyDescent="0.35">
      <c r="C72" t="str">
        <f>D66</f>
        <v>NOW</v>
      </c>
      <c r="D72" s="258" t="s">
        <v>659</v>
      </c>
      <c r="E72" s="49">
        <f>E68/$G68</f>
        <v>0.37059569074778198</v>
      </c>
      <c r="F72" s="49">
        <f>F68/$G68</f>
        <v>0.62940430925221802</v>
      </c>
      <c r="G72" s="258"/>
      <c r="H72" s="49">
        <f>H67</f>
        <v>1.7000000000000001E-2</v>
      </c>
      <c r="I72" t="str">
        <f>IF(OR(AND(F72&gt;0.5,H67&gt;0),AND(F72&lt;0.5,H67&lt;0)),"CORRECT","WRONG")</f>
        <v>CORRECT</v>
      </c>
      <c r="J72" t="str">
        <f>IF(F72&gt;0.5,"BULLISH","BEARISH")</f>
        <v>BULLISH</v>
      </c>
    </row>
    <row r="76" spans="3:10" x14ac:dyDescent="0.35">
      <c r="D76" s="258" t="s">
        <v>363</v>
      </c>
      <c r="E76" s="258" t="s">
        <v>642</v>
      </c>
      <c r="F76" s="8" t="s">
        <v>643</v>
      </c>
      <c r="G76" s="258"/>
      <c r="H76" s="49" t="s">
        <v>664</v>
      </c>
    </row>
    <row r="77" spans="3:10" x14ac:dyDescent="0.35">
      <c r="D77" s="258" t="s">
        <v>658</v>
      </c>
      <c r="E77" s="258">
        <v>2446</v>
      </c>
      <c r="F77" s="258">
        <v>1696</v>
      </c>
      <c r="G77" s="258">
        <f>SUM(E77:F77)</f>
        <v>4142</v>
      </c>
      <c r="H77" s="49">
        <v>-2.5000000000000001E-2</v>
      </c>
    </row>
    <row r="78" spans="3:10" x14ac:dyDescent="0.35">
      <c r="D78" s="258" t="s">
        <v>659</v>
      </c>
      <c r="E78" s="258">
        <v>8012</v>
      </c>
      <c r="F78" s="258">
        <v>6256</v>
      </c>
      <c r="G78" s="258">
        <f>SUM(E78:F78)</f>
        <v>14268</v>
      </c>
    </row>
    <row r="79" spans="3:10" x14ac:dyDescent="0.35">
      <c r="D79" s="258" t="s">
        <v>663</v>
      </c>
      <c r="E79" s="258">
        <f>SUM(E77:E78)</f>
        <v>10458</v>
      </c>
      <c r="F79" s="258">
        <f>SUM(F77:F78)</f>
        <v>7952</v>
      </c>
      <c r="G79" s="258">
        <f>SUM(E79:F79)</f>
        <v>18410</v>
      </c>
    </row>
    <row r="80" spans="3:10" x14ac:dyDescent="0.35">
      <c r="D80" s="258" t="s">
        <v>663</v>
      </c>
      <c r="E80" s="49">
        <f>E79/$G79</f>
        <v>0.56806083650190109</v>
      </c>
      <c r="F80" s="49">
        <f>F79/$G79</f>
        <v>0.43193916349809885</v>
      </c>
      <c r="G80" s="258"/>
    </row>
    <row r="81" spans="3:10" x14ac:dyDescent="0.35">
      <c r="C81" t="str">
        <f>D76</f>
        <v>LUV</v>
      </c>
      <c r="D81" s="258" t="s">
        <v>658</v>
      </c>
      <c r="E81" s="49">
        <f>E77/$G77</f>
        <v>0.59053597295992277</v>
      </c>
      <c r="F81" s="49">
        <f>F77/$G77</f>
        <v>0.40946402704007728</v>
      </c>
      <c r="G81" s="258"/>
      <c r="H81" s="49">
        <f>H77</f>
        <v>-2.5000000000000001E-2</v>
      </c>
      <c r="I81" t="str">
        <f>IF(OR(AND(F81&gt;0.5,H77&gt;0),AND(F81&lt;0.5,H77&lt;0)),"CORRECT","WRONG")</f>
        <v>CORRECT</v>
      </c>
      <c r="J81" t="str">
        <f>IF(F81&gt;0.5,"BULLISH","BEARISH")</f>
        <v>BEARISH</v>
      </c>
    </row>
    <row r="82" spans="3:10" x14ac:dyDescent="0.35">
      <c r="C82" t="str">
        <f>D76</f>
        <v>LUV</v>
      </c>
      <c r="D82" s="258" t="s">
        <v>659</v>
      </c>
      <c r="E82" s="49">
        <f>E78/$G78</f>
        <v>0.5615363050182226</v>
      </c>
      <c r="F82" s="49">
        <f>F78/$G78</f>
        <v>0.4384636949817774</v>
      </c>
      <c r="G82" s="258"/>
      <c r="H82" s="49">
        <f>H77</f>
        <v>-2.5000000000000001E-2</v>
      </c>
      <c r="I82" t="str">
        <f>IF(OR(AND(F82&gt;0.5,H77&gt;0),AND(F82&lt;0.5,H77&lt;0)),"CORRECT","WRONG")</f>
        <v>CORRECT</v>
      </c>
      <c r="J82" t="str">
        <f>IF(F82&gt;0.5,"BULLISH","BEARISH")</f>
        <v>BEARISH</v>
      </c>
    </row>
    <row r="86" spans="3:10" x14ac:dyDescent="0.35">
      <c r="D86" s="258" t="s">
        <v>390</v>
      </c>
      <c r="E86" s="258" t="s">
        <v>642</v>
      </c>
      <c r="F86" s="8" t="s">
        <v>643</v>
      </c>
      <c r="G86" s="258"/>
      <c r="H86" s="49" t="s">
        <v>664</v>
      </c>
    </row>
    <row r="87" spans="3:10" x14ac:dyDescent="0.35">
      <c r="D87" s="258" t="s">
        <v>658</v>
      </c>
      <c r="E87" s="258">
        <v>2792</v>
      </c>
      <c r="F87" s="258">
        <v>6347</v>
      </c>
      <c r="G87" s="258">
        <f>SUM(E87:F87)</f>
        <v>9139</v>
      </c>
      <c r="H87" s="49">
        <v>-2.4E-2</v>
      </c>
    </row>
    <row r="88" spans="3:10" x14ac:dyDescent="0.35">
      <c r="D88" s="258" t="s">
        <v>659</v>
      </c>
      <c r="E88" s="258">
        <v>26620</v>
      </c>
      <c r="F88" s="258">
        <v>22752</v>
      </c>
      <c r="G88" s="258">
        <f>SUM(E88:F88)</f>
        <v>49372</v>
      </c>
    </row>
    <row r="89" spans="3:10" x14ac:dyDescent="0.35">
      <c r="D89" s="258" t="s">
        <v>663</v>
      </c>
      <c r="E89" s="258">
        <f>SUM(E87:E88)</f>
        <v>29412</v>
      </c>
      <c r="F89" s="258">
        <f>SUM(F87:F88)</f>
        <v>29099</v>
      </c>
      <c r="G89" s="258">
        <f>SUM(E89:F89)</f>
        <v>58511</v>
      </c>
    </row>
    <row r="90" spans="3:10" x14ac:dyDescent="0.35">
      <c r="D90" s="258" t="s">
        <v>663</v>
      </c>
      <c r="E90" s="49">
        <f>E89/$G89</f>
        <v>0.50267471073815184</v>
      </c>
      <c r="F90" s="49">
        <f>F89/$G89</f>
        <v>0.49732528926184821</v>
      </c>
      <c r="G90" s="258"/>
    </row>
    <row r="91" spans="3:10" x14ac:dyDescent="0.35">
      <c r="C91" t="str">
        <f>D86</f>
        <v>MA</v>
      </c>
      <c r="D91" s="258" t="s">
        <v>658</v>
      </c>
      <c r="E91" s="49">
        <f>E87/$G87</f>
        <v>0.30550388445125287</v>
      </c>
      <c r="F91" s="49">
        <f>F87/$G87</f>
        <v>0.69449611554874713</v>
      </c>
      <c r="G91" s="258"/>
      <c r="H91" s="49">
        <f>H87</f>
        <v>-2.4E-2</v>
      </c>
      <c r="I91" t="str">
        <f>IF(OR(AND(F91&gt;0.5,H87&gt;0),AND(F91&lt;0.5,H87&lt;0)),"CORRECT","WRONG")</f>
        <v>WRONG</v>
      </c>
      <c r="J91" t="str">
        <f>IF(F91&gt;0.5,"BULLISH","BEARISH")</f>
        <v>BULLISH</v>
      </c>
    </row>
    <row r="92" spans="3:10" x14ac:dyDescent="0.35">
      <c r="C92" t="str">
        <f>D86</f>
        <v>MA</v>
      </c>
      <c r="D92" s="258" t="s">
        <v>659</v>
      </c>
      <c r="E92" s="49">
        <f>E88/$G88</f>
        <v>0.53917200032407031</v>
      </c>
      <c r="F92" s="49">
        <f>F88/$G88</f>
        <v>0.46082799967592969</v>
      </c>
      <c r="G92" s="258"/>
      <c r="H92" s="49">
        <f>H87</f>
        <v>-2.4E-2</v>
      </c>
      <c r="I92" t="str">
        <f>IF(OR(AND(F92&gt;0.5,H87&gt;0),AND(F92&lt;0.5,H87&lt;0)),"CORRECT","WRONG")</f>
        <v>CORRECT</v>
      </c>
      <c r="J92" t="str">
        <f>IF(F92&gt;0.5,"BULLISH","BEARISH")</f>
        <v>BEARISH</v>
      </c>
    </row>
    <row r="95" spans="3:10" x14ac:dyDescent="0.35">
      <c r="D95" s="258" t="s">
        <v>93</v>
      </c>
      <c r="E95" s="258" t="s">
        <v>642</v>
      </c>
      <c r="F95" s="8" t="s">
        <v>643</v>
      </c>
      <c r="G95" s="258"/>
      <c r="H95" s="49" t="s">
        <v>664</v>
      </c>
    </row>
    <row r="96" spans="3:10" x14ac:dyDescent="0.35">
      <c r="D96" s="258" t="s">
        <v>658</v>
      </c>
      <c r="E96" s="258">
        <v>8564</v>
      </c>
      <c r="F96" s="258">
        <v>7129</v>
      </c>
      <c r="G96" s="258">
        <f>SUM(E96:F96)</f>
        <v>15693</v>
      </c>
      <c r="H96" s="49">
        <v>-0.06</v>
      </c>
    </row>
    <row r="97" spans="3:10" x14ac:dyDescent="0.35">
      <c r="D97" s="258" t="s">
        <v>659</v>
      </c>
      <c r="E97" s="258">
        <v>34414</v>
      </c>
      <c r="F97" s="258">
        <v>64656</v>
      </c>
      <c r="G97" s="258">
        <f>SUM(E97:F97)</f>
        <v>99070</v>
      </c>
    </row>
    <row r="98" spans="3:10" x14ac:dyDescent="0.35">
      <c r="D98" s="258" t="s">
        <v>663</v>
      </c>
      <c r="E98" s="258">
        <f>SUM(E96:E97)</f>
        <v>42978</v>
      </c>
      <c r="F98" s="258">
        <f>SUM(F96:F97)</f>
        <v>71785</v>
      </c>
      <c r="G98" s="258">
        <f>SUM(E98:F98)</f>
        <v>114763</v>
      </c>
    </row>
    <row r="99" spans="3:10" x14ac:dyDescent="0.35">
      <c r="D99" s="258" t="s">
        <v>663</v>
      </c>
      <c r="E99" s="49">
        <f>E98/$G98</f>
        <v>0.37449352143112324</v>
      </c>
      <c r="F99" s="49">
        <f>F98/$G98</f>
        <v>0.62550647856887676</v>
      </c>
      <c r="G99" s="258"/>
    </row>
    <row r="100" spans="3:10" x14ac:dyDescent="0.35">
      <c r="C100" t="str">
        <f>D95</f>
        <v>SBUX</v>
      </c>
      <c r="D100" s="258" t="s">
        <v>658</v>
      </c>
      <c r="E100" s="49">
        <f>E96/$G96</f>
        <v>0.54572102211176954</v>
      </c>
      <c r="F100" s="49">
        <f>F96/$G96</f>
        <v>0.45427897788823041</v>
      </c>
      <c r="G100" s="258"/>
      <c r="H100" s="49">
        <f>H96</f>
        <v>-0.06</v>
      </c>
      <c r="I100" t="str">
        <f>IF(OR(AND(F100&gt;0.5,H96&gt;0),AND(F100&lt;0.5,H96&lt;0)),"CORRECT","WRONG")</f>
        <v>CORRECT</v>
      </c>
      <c r="J100" t="str">
        <f>IF(F100&gt;0.5,"BULLISH","BEARISH")</f>
        <v>BEARISH</v>
      </c>
    </row>
    <row r="101" spans="3:10" x14ac:dyDescent="0.35">
      <c r="C101" t="str">
        <f>D95</f>
        <v>SBUX</v>
      </c>
      <c r="D101" s="258" t="s">
        <v>659</v>
      </c>
      <c r="E101" s="49">
        <f>E97/$G97</f>
        <v>0.34737054607853035</v>
      </c>
      <c r="F101" s="49">
        <f>F97/$G97</f>
        <v>0.65262945392146965</v>
      </c>
      <c r="G101" s="258"/>
      <c r="H101" s="49">
        <f>H96</f>
        <v>-0.06</v>
      </c>
      <c r="I101" t="str">
        <f>IF(OR(AND(F101&gt;0.5,H96&gt;0),AND(F101&lt;0.5,H96&lt;0)),"CORRECT","WRONG")</f>
        <v>WRONG</v>
      </c>
      <c r="J101" t="str">
        <f>IF(F101&gt;0.5,"BULLISH","BEARISH")</f>
        <v>BULLISH</v>
      </c>
    </row>
    <row r="104" spans="3:10" x14ac:dyDescent="0.35">
      <c r="D104" s="258" t="s">
        <v>355</v>
      </c>
      <c r="E104" s="258" t="s">
        <v>642</v>
      </c>
      <c r="F104" s="8" t="s">
        <v>643</v>
      </c>
      <c r="G104" s="258"/>
      <c r="H104" s="49" t="s">
        <v>664</v>
      </c>
    </row>
    <row r="105" spans="3:10" x14ac:dyDescent="0.35">
      <c r="D105" s="258" t="s">
        <v>658</v>
      </c>
      <c r="E105" s="258">
        <v>67862</v>
      </c>
      <c r="F105" s="258">
        <v>89180</v>
      </c>
      <c r="G105" s="258">
        <f>SUM(E105:F105)</f>
        <v>157042</v>
      </c>
      <c r="H105" s="49">
        <v>2.8000000000000001E-2</v>
      </c>
    </row>
    <row r="106" spans="3:10" x14ac:dyDescent="0.35">
      <c r="D106" s="258" t="s">
        <v>659</v>
      </c>
      <c r="E106" s="258">
        <v>173414</v>
      </c>
      <c r="F106" s="258">
        <v>271448</v>
      </c>
      <c r="G106" s="258">
        <f>SUM(E106:F106)</f>
        <v>444862</v>
      </c>
    </row>
    <row r="107" spans="3:10" x14ac:dyDescent="0.35">
      <c r="D107" s="258" t="s">
        <v>663</v>
      </c>
      <c r="E107" s="258">
        <f>SUM(E105:E106)</f>
        <v>241276</v>
      </c>
      <c r="F107" s="258">
        <f>SUM(F105:F106)</f>
        <v>360628</v>
      </c>
      <c r="G107" s="258">
        <f>SUM(E107:F107)</f>
        <v>601904</v>
      </c>
    </row>
    <row r="108" spans="3:10" x14ac:dyDescent="0.35">
      <c r="D108" s="258" t="s">
        <v>663</v>
      </c>
      <c r="E108" s="49">
        <f>E107/$G107</f>
        <v>0.40085462133496369</v>
      </c>
      <c r="F108" s="49">
        <f>F107/$G107</f>
        <v>0.59914537866503625</v>
      </c>
      <c r="G108" s="258"/>
    </row>
    <row r="109" spans="3:10" x14ac:dyDescent="0.35">
      <c r="C109" t="str">
        <f>D104</f>
        <v>FB</v>
      </c>
      <c r="D109" s="258" t="s">
        <v>658</v>
      </c>
      <c r="E109" s="49">
        <f>E105/$G105</f>
        <v>0.43212643751353141</v>
      </c>
      <c r="F109" s="49">
        <f>F105/$G105</f>
        <v>0.56787356248646859</v>
      </c>
      <c r="G109" s="258"/>
      <c r="H109" s="49">
        <f>H105</f>
        <v>2.8000000000000001E-2</v>
      </c>
      <c r="I109" t="str">
        <f>IF(OR(AND(F109&gt;0.5,H105&gt;0),AND(F109&lt;0.5,H105&lt;0)),"CORRECT","WRONG")</f>
        <v>CORRECT</v>
      </c>
      <c r="J109" t="str">
        <f>IF(F109&gt;0.5,"BULLISH","BEARISH")</f>
        <v>BULLISH</v>
      </c>
    </row>
    <row r="110" spans="3:10" x14ac:dyDescent="0.35">
      <c r="C110" t="str">
        <f>D104</f>
        <v>FB</v>
      </c>
      <c r="D110" s="258" t="s">
        <v>659</v>
      </c>
      <c r="E110" s="49">
        <f>E106/$G106</f>
        <v>0.38981526855519238</v>
      </c>
      <c r="F110" s="49">
        <f>F106/$G106</f>
        <v>0.61018473144480756</v>
      </c>
      <c r="G110" s="258"/>
      <c r="H110" s="49">
        <f>H105</f>
        <v>2.8000000000000001E-2</v>
      </c>
      <c r="I110" t="str">
        <f>IF(OR(AND(F110&gt;0.5,H105&gt;0),AND(F110&lt;0.5,H105&lt;0)),"CORRECT","WRONG")</f>
        <v>CORRECT</v>
      </c>
      <c r="J110" t="str">
        <f>IF(F110&gt;0.5,"BULLISH","BEARISH")</f>
        <v>BULLISH</v>
      </c>
    </row>
    <row r="114" spans="2:10" x14ac:dyDescent="0.35">
      <c r="D114" s="258" t="s">
        <v>338</v>
      </c>
      <c r="E114" s="258" t="s">
        <v>642</v>
      </c>
      <c r="F114" s="8" t="s">
        <v>643</v>
      </c>
      <c r="G114" s="258"/>
      <c r="H114" s="49" t="s">
        <v>664</v>
      </c>
      <c r="I114" s="260"/>
    </row>
    <row r="115" spans="2:10" x14ac:dyDescent="0.35">
      <c r="D115" s="258" t="s">
        <v>658</v>
      </c>
      <c r="E115" s="258">
        <v>3718</v>
      </c>
      <c r="F115" s="258">
        <v>6365</v>
      </c>
      <c r="G115" s="258">
        <f>SUM(E115:F115)</f>
        <v>10083</v>
      </c>
      <c r="H115" s="49">
        <v>6.5000000000000002E-2</v>
      </c>
    </row>
    <row r="116" spans="2:10" x14ac:dyDescent="0.35">
      <c r="B116">
        <v>0.44</v>
      </c>
      <c r="D116" s="258" t="s">
        <v>659</v>
      </c>
      <c r="E116" s="258">
        <v>19256</v>
      </c>
      <c r="F116" s="258">
        <v>39486</v>
      </c>
      <c r="G116" s="258">
        <f>SUM(E116:F116)</f>
        <v>58742</v>
      </c>
    </row>
    <row r="117" spans="2:10" x14ac:dyDescent="0.35">
      <c r="B117">
        <v>800</v>
      </c>
      <c r="D117" s="258" t="s">
        <v>663</v>
      </c>
      <c r="E117" s="258">
        <f>SUM(E115:E116)</f>
        <v>22974</v>
      </c>
      <c r="F117" s="258">
        <f>SUM(F115:F116)</f>
        <v>45851</v>
      </c>
      <c r="G117" s="258">
        <f>SUM(E117:F117)</f>
        <v>68825</v>
      </c>
    </row>
    <row r="118" spans="2:10" x14ac:dyDescent="0.35">
      <c r="B118">
        <f>B116*B117</f>
        <v>352</v>
      </c>
      <c r="D118" s="258" t="s">
        <v>663</v>
      </c>
      <c r="E118" s="49">
        <f>E117/$G117</f>
        <v>0.33380312386487471</v>
      </c>
      <c r="F118" s="49">
        <f>F117/$G117</f>
        <v>0.66619687613512535</v>
      </c>
      <c r="G118" s="258"/>
    </row>
    <row r="119" spans="2:10" x14ac:dyDescent="0.35">
      <c r="C119" t="str">
        <f>D114</f>
        <v>VZ</v>
      </c>
      <c r="D119" s="258" t="s">
        <v>658</v>
      </c>
      <c r="E119" s="49">
        <f>E115/$G115</f>
        <v>0.36873946246156897</v>
      </c>
      <c r="F119" s="49">
        <f>F115/$G115</f>
        <v>0.63126053753843103</v>
      </c>
      <c r="G119" s="258"/>
      <c r="H119" s="49">
        <f>H115</f>
        <v>6.5000000000000002E-2</v>
      </c>
      <c r="I119" t="str">
        <f>IF(OR(AND(F119&gt;0.5,H115&gt;0),AND(F119&lt;0.5,H115&lt;0)),"CORRECT","WRONG")</f>
        <v>CORRECT</v>
      </c>
      <c r="J119" t="str">
        <f>IF(F119&gt;0.5,"BULLISH","BEARISH")</f>
        <v>BULLISH</v>
      </c>
    </row>
    <row r="120" spans="2:10" x14ac:dyDescent="0.35">
      <c r="C120" t="str">
        <f>D114</f>
        <v>VZ</v>
      </c>
      <c r="D120" s="258" t="s">
        <v>659</v>
      </c>
      <c r="E120" s="49">
        <f>E116/$G116</f>
        <v>0.32780633958666711</v>
      </c>
      <c r="F120" s="49">
        <f>F116/$G116</f>
        <v>0.67219366041333284</v>
      </c>
      <c r="G120" s="258"/>
      <c r="H120" s="49">
        <f>H115</f>
        <v>6.5000000000000002E-2</v>
      </c>
      <c r="I120" t="str">
        <f>IF(OR(AND(F120&gt;0.5,H115&gt;0),AND(F120&lt;0.5,H115&lt;0)),"CORRECT","WRONG")</f>
        <v>CORRECT</v>
      </c>
      <c r="J120" t="str">
        <f>IF(F120&gt;0.5,"BULLISH","BEARISH")</f>
        <v>BULLISH</v>
      </c>
    </row>
    <row r="124" spans="2:10" x14ac:dyDescent="0.35">
      <c r="D124" s="260" t="s">
        <v>1</v>
      </c>
      <c r="E124" s="260" t="s">
        <v>642</v>
      </c>
      <c r="F124" s="8" t="s">
        <v>643</v>
      </c>
      <c r="G124" s="260"/>
      <c r="H124" s="49" t="s">
        <v>664</v>
      </c>
    </row>
    <row r="125" spans="2:10" x14ac:dyDescent="0.35">
      <c r="D125" s="260" t="s">
        <v>658</v>
      </c>
      <c r="E125" s="260">
        <v>72680</v>
      </c>
      <c r="F125" s="260">
        <v>99552</v>
      </c>
      <c r="G125" s="260">
        <f>SUM(E125:F125)</f>
        <v>172232</v>
      </c>
      <c r="H125" s="49">
        <v>0.06</v>
      </c>
    </row>
    <row r="126" spans="2:10" x14ac:dyDescent="0.35">
      <c r="D126" s="260" t="s">
        <v>659</v>
      </c>
      <c r="E126" s="260">
        <v>249442</v>
      </c>
      <c r="F126" s="260">
        <v>262435</v>
      </c>
      <c r="G126" s="260">
        <f>SUM(E126:F126)</f>
        <v>511877</v>
      </c>
    </row>
    <row r="127" spans="2:10" x14ac:dyDescent="0.35">
      <c r="D127" s="260" t="s">
        <v>663</v>
      </c>
      <c r="E127" s="260">
        <f>SUM(E125:E126)</f>
        <v>322122</v>
      </c>
      <c r="F127" s="260">
        <f>SUM(F125:F126)</f>
        <v>361987</v>
      </c>
      <c r="G127" s="260">
        <f>SUM(E127:F127)</f>
        <v>684109</v>
      </c>
    </row>
    <row r="128" spans="2:10" x14ac:dyDescent="0.35">
      <c r="D128" s="260" t="s">
        <v>663</v>
      </c>
      <c r="E128" s="49">
        <f>E127/$G127</f>
        <v>0.470863561216122</v>
      </c>
      <c r="F128" s="49">
        <f>F127/$G127</f>
        <v>0.52913643878387806</v>
      </c>
      <c r="G128" s="260"/>
    </row>
    <row r="129" spans="3:10" x14ac:dyDescent="0.35">
      <c r="C129" t="str">
        <f>D124</f>
        <v>AAPL</v>
      </c>
      <c r="D129" s="260" t="s">
        <v>658</v>
      </c>
      <c r="E129" s="49">
        <f>E125/$G125</f>
        <v>0.42198894514375956</v>
      </c>
      <c r="F129" s="49">
        <f>F125/$G125</f>
        <v>0.57801105485624038</v>
      </c>
      <c r="G129" s="260"/>
      <c r="H129" s="49">
        <f>H125</f>
        <v>0.06</v>
      </c>
      <c r="I129" t="str">
        <f>IF(OR(AND(F129&gt;0.5,H125&gt;0),AND(F129&lt;0.5,H125&lt;0)),"CORRECT","WRONG")</f>
        <v>CORRECT</v>
      </c>
      <c r="J129" t="str">
        <f>IF(F129&gt;0.5,"BULLISH","BEARISH")</f>
        <v>BULLISH</v>
      </c>
    </row>
    <row r="130" spans="3:10" x14ac:dyDescent="0.35">
      <c r="C130" t="str">
        <f>D124</f>
        <v>AAPL</v>
      </c>
      <c r="D130" s="260" t="s">
        <v>659</v>
      </c>
      <c r="E130" s="49">
        <f>E126/$G126</f>
        <v>0.48730847449680292</v>
      </c>
      <c r="F130" s="49">
        <f>F126/$G126</f>
        <v>0.51269152550319708</v>
      </c>
      <c r="G130" s="260"/>
      <c r="H130" s="49">
        <f>H125</f>
        <v>0.06</v>
      </c>
      <c r="I130" t="str">
        <f>IF(OR(AND(F130&gt;0.5,H125&gt;0),AND(F130&lt;0.5,H125&lt;0)),"CORRECT","WRONG")</f>
        <v>CORRECT</v>
      </c>
      <c r="J130" t="str">
        <f>IF(F130&gt;0.5,"BULLISH","BEARISH")</f>
        <v>BULLISH</v>
      </c>
    </row>
    <row r="134" spans="3:10" x14ac:dyDescent="0.35">
      <c r="D134" s="260" t="s">
        <v>343</v>
      </c>
      <c r="E134" s="260" t="s">
        <v>642</v>
      </c>
      <c r="F134" s="8" t="s">
        <v>643</v>
      </c>
      <c r="G134" s="260"/>
      <c r="H134" s="49" t="s">
        <v>664</v>
      </c>
    </row>
    <row r="135" spans="3:10" x14ac:dyDescent="0.35">
      <c r="D135" s="260" t="s">
        <v>658</v>
      </c>
      <c r="E135" s="260">
        <v>93734</v>
      </c>
      <c r="F135" s="260">
        <v>91710</v>
      </c>
      <c r="G135" s="260">
        <f>SUM(E135:F135)</f>
        <v>185444</v>
      </c>
      <c r="H135" s="49">
        <v>3.6999999999999998E-2</v>
      </c>
    </row>
    <row r="136" spans="3:10" x14ac:dyDescent="0.35">
      <c r="D136" s="260" t="s">
        <v>659</v>
      </c>
      <c r="E136" s="260">
        <v>72334</v>
      </c>
      <c r="F136" s="260">
        <v>85088</v>
      </c>
      <c r="G136" s="260">
        <f>SUM(E136:F136)</f>
        <v>157422</v>
      </c>
    </row>
    <row r="137" spans="3:10" x14ac:dyDescent="0.35">
      <c r="D137" s="260" t="s">
        <v>663</v>
      </c>
      <c r="E137" s="260">
        <f>SUM(E135:E136)</f>
        <v>166068</v>
      </c>
      <c r="F137" s="260">
        <f>SUM(F135:F136)</f>
        <v>176798</v>
      </c>
      <c r="G137" s="260">
        <f>SUM(E137:F137)</f>
        <v>342866</v>
      </c>
    </row>
    <row r="138" spans="3:10" x14ac:dyDescent="0.35">
      <c r="D138" s="260" t="s">
        <v>663</v>
      </c>
      <c r="E138" s="49">
        <f>E137/$G137</f>
        <v>0.48435248756073801</v>
      </c>
      <c r="F138" s="49">
        <f>F137/$G137</f>
        <v>0.51564751243926199</v>
      </c>
      <c r="G138" s="260"/>
    </row>
    <row r="139" spans="3:10" x14ac:dyDescent="0.35">
      <c r="C139" t="str">
        <f>D134</f>
        <v>TSLA</v>
      </c>
      <c r="D139" s="260" t="s">
        <v>658</v>
      </c>
      <c r="E139" s="49">
        <f>E135/$G135</f>
        <v>0.50545717305493842</v>
      </c>
      <c r="F139" s="49">
        <f>F135/$G135</f>
        <v>0.49454282694506158</v>
      </c>
      <c r="G139" s="260"/>
      <c r="H139" s="49">
        <f>H135</f>
        <v>3.6999999999999998E-2</v>
      </c>
      <c r="I139" t="str">
        <f>IF(OR(AND(F139&gt;0.5,H135&gt;0),AND(F139&lt;0.5,H135&lt;0)),"CORRECT","WRONG")</f>
        <v>WRONG</v>
      </c>
      <c r="J139" t="str">
        <f>IF(F139&gt;0.5,"BULLISH","BEARISH")</f>
        <v>BEARISH</v>
      </c>
    </row>
    <row r="140" spans="3:10" x14ac:dyDescent="0.35">
      <c r="C140" t="str">
        <f>D134</f>
        <v>TSLA</v>
      </c>
      <c r="D140" s="260" t="s">
        <v>659</v>
      </c>
      <c r="E140" s="49">
        <f>E136/$G136</f>
        <v>0.45949104953564307</v>
      </c>
      <c r="F140" s="49">
        <f>F136/$G136</f>
        <v>0.54050895046435699</v>
      </c>
      <c r="G140" s="260"/>
      <c r="H140" s="49">
        <f>H135</f>
        <v>3.6999999999999998E-2</v>
      </c>
      <c r="I140" t="str">
        <f>IF(OR(AND(F140&gt;0.5,H135&gt;0),AND(F140&lt;0.5,H135&lt;0)),"CORRECT","WRONG")</f>
        <v>CORRECT</v>
      </c>
      <c r="J140" t="str">
        <f>IF(F140&gt;0.5,"BULLISH","BEARISH")</f>
        <v>BULLISH</v>
      </c>
    </row>
    <row r="143" spans="3:10" x14ac:dyDescent="0.35">
      <c r="D143" s="260" t="s">
        <v>181</v>
      </c>
      <c r="E143" s="260" t="s">
        <v>642</v>
      </c>
      <c r="F143" s="8" t="s">
        <v>643</v>
      </c>
      <c r="G143" s="260"/>
      <c r="H143" s="49" t="s">
        <v>664</v>
      </c>
    </row>
    <row r="144" spans="3:10" x14ac:dyDescent="0.35">
      <c r="D144" s="260" t="s">
        <v>658</v>
      </c>
      <c r="E144" s="260">
        <v>2560</v>
      </c>
      <c r="F144" s="260">
        <v>3914</v>
      </c>
      <c r="G144" s="260">
        <f>SUM(E144:F144)</f>
        <v>6474</v>
      </c>
      <c r="H144" s="49">
        <v>-0.05</v>
      </c>
    </row>
    <row r="145" spans="3:10" x14ac:dyDescent="0.35">
      <c r="D145" s="260" t="s">
        <v>659</v>
      </c>
      <c r="E145" s="260">
        <v>13746</v>
      </c>
      <c r="F145" s="260">
        <v>86668</v>
      </c>
      <c r="G145" s="260">
        <f>SUM(E145:F145)</f>
        <v>100414</v>
      </c>
    </row>
    <row r="146" spans="3:10" x14ac:dyDescent="0.35">
      <c r="D146" s="260" t="s">
        <v>663</v>
      </c>
      <c r="E146" s="260">
        <f>SUM(E144:E145)</f>
        <v>16306</v>
      </c>
      <c r="F146" s="260">
        <f>SUM(F144:F145)</f>
        <v>90582</v>
      </c>
      <c r="G146" s="260">
        <f>SUM(E146:F146)</f>
        <v>106888</v>
      </c>
    </row>
    <row r="147" spans="3:10" x14ac:dyDescent="0.35">
      <c r="D147" s="260" t="s">
        <v>663</v>
      </c>
      <c r="E147" s="49">
        <f>E146/$G146</f>
        <v>0.15255220417633411</v>
      </c>
      <c r="F147" s="49">
        <f>F146/$G146</f>
        <v>0.84744779582366592</v>
      </c>
      <c r="G147" s="260"/>
    </row>
    <row r="148" spans="3:10" x14ac:dyDescent="0.35">
      <c r="C148" t="str">
        <f>D143</f>
        <v>CTL</v>
      </c>
      <c r="D148" s="260" t="s">
        <v>658</v>
      </c>
      <c r="E148" s="49">
        <f>E144/$G144</f>
        <v>0.39542786530738339</v>
      </c>
      <c r="F148" s="49">
        <f>F144/$G144</f>
        <v>0.60457213469261661</v>
      </c>
      <c r="G148" s="260"/>
      <c r="H148" s="49">
        <f>H144</f>
        <v>-0.05</v>
      </c>
      <c r="I148" t="str">
        <f>IF(OR(AND(F148&gt;0.5,H144&gt;0),AND(F148&lt;0.5,H144&lt;0)),"CORRECT","WRONG")</f>
        <v>WRONG</v>
      </c>
      <c r="J148" t="str">
        <f>IF(F148&gt;0.5,"BULLISH","BEARISH")</f>
        <v>BULLISH</v>
      </c>
    </row>
    <row r="149" spans="3:10" x14ac:dyDescent="0.35">
      <c r="C149" t="str">
        <f>D143</f>
        <v>CTL</v>
      </c>
      <c r="D149" s="260" t="s">
        <v>659</v>
      </c>
      <c r="E149" s="49">
        <f>E145/$G145</f>
        <v>0.1368932618957516</v>
      </c>
      <c r="F149" s="49">
        <f>F145/$G145</f>
        <v>0.86310673810424843</v>
      </c>
      <c r="G149" s="260"/>
      <c r="H149" s="49">
        <f>H144</f>
        <v>-0.05</v>
      </c>
      <c r="I149" t="str">
        <f>IF(OR(AND(F149&gt;0.5,H144&gt;0),AND(F149&lt;0.5,H144&lt;0)),"CORRECT","WRONG")</f>
        <v>WRONG</v>
      </c>
      <c r="J149" t="str">
        <f>IF(F149&gt;0.5,"BULLISH","BEARISH")</f>
        <v>BULLISH</v>
      </c>
    </row>
    <row r="153" spans="3:10" x14ac:dyDescent="0.35">
      <c r="D153" s="261" t="s">
        <v>380</v>
      </c>
      <c r="E153" s="261" t="s">
        <v>642</v>
      </c>
      <c r="F153" s="8" t="s">
        <v>643</v>
      </c>
      <c r="G153" s="261"/>
      <c r="H153" s="49" t="s">
        <v>664</v>
      </c>
    </row>
    <row r="154" spans="3:10" x14ac:dyDescent="0.35">
      <c r="D154" s="261" t="s">
        <v>658</v>
      </c>
      <c r="E154" s="261">
        <v>14136</v>
      </c>
      <c r="F154" s="261">
        <v>29830</v>
      </c>
      <c r="G154" s="261">
        <f>SUM(E154:F154)</f>
        <v>43966</v>
      </c>
      <c r="H154" s="49">
        <v>-4.4999999999999998E-2</v>
      </c>
    </row>
    <row r="155" spans="3:10" x14ac:dyDescent="0.35">
      <c r="D155" s="261" t="s">
        <v>659</v>
      </c>
      <c r="E155" s="261">
        <v>21600</v>
      </c>
      <c r="F155" s="261">
        <v>31644</v>
      </c>
      <c r="G155" s="261">
        <f>SUM(E155:F155)</f>
        <v>53244</v>
      </c>
    </row>
    <row r="156" spans="3:10" x14ac:dyDescent="0.35">
      <c r="D156" s="261" t="s">
        <v>663</v>
      </c>
      <c r="E156" s="261">
        <f>SUM(E154:E155)</f>
        <v>35736</v>
      </c>
      <c r="F156" s="261">
        <f>SUM(F154:F155)</f>
        <v>61474</v>
      </c>
      <c r="G156" s="261">
        <f>SUM(E156:F156)</f>
        <v>97210</v>
      </c>
    </row>
    <row r="157" spans="3:10" x14ac:dyDescent="0.35">
      <c r="D157" s="261" t="s">
        <v>663</v>
      </c>
      <c r="E157" s="49">
        <f>E156/$G156</f>
        <v>0.36761650036004528</v>
      </c>
      <c r="F157" s="49">
        <f>F156/$G156</f>
        <v>0.63238349963995477</v>
      </c>
      <c r="G157" s="261"/>
    </row>
    <row r="158" spans="3:10" x14ac:dyDescent="0.35">
      <c r="C158" t="str">
        <f>D153</f>
        <v>DIS</v>
      </c>
      <c r="D158" s="261" t="s">
        <v>658</v>
      </c>
      <c r="E158" s="49">
        <f>E154/$G154</f>
        <v>0.32152117545375974</v>
      </c>
      <c r="F158" s="49">
        <f>F154/$G154</f>
        <v>0.67847882454624031</v>
      </c>
      <c r="G158" s="261"/>
      <c r="H158" s="49">
        <f>H154</f>
        <v>-4.4999999999999998E-2</v>
      </c>
      <c r="I158" t="str">
        <f>IF(OR(AND(F158&gt;0.5,H154&gt;0),AND(F158&lt;0.5,H154&lt;0)),"CORRECT","WRONG")</f>
        <v>WRONG</v>
      </c>
      <c r="J158" t="str">
        <f>IF(F158&gt;0.5,"BULLISH","BEARISH")</f>
        <v>BULLISH</v>
      </c>
    </row>
    <row r="159" spans="3:10" x14ac:dyDescent="0.35">
      <c r="C159" t="str">
        <f>D153</f>
        <v>DIS</v>
      </c>
      <c r="D159" s="261" t="s">
        <v>659</v>
      </c>
      <c r="E159" s="49">
        <f>E155/$G155</f>
        <v>0.40567951318458417</v>
      </c>
      <c r="F159" s="49">
        <f>F155/$G155</f>
        <v>0.59432048681541583</v>
      </c>
      <c r="G159" s="261"/>
      <c r="H159" s="49">
        <f>H154</f>
        <v>-4.4999999999999998E-2</v>
      </c>
      <c r="I159" t="str">
        <f>IF(OR(AND(F159&gt;0.5,H154&gt;0),AND(F159&lt;0.5,H154&lt;0)),"CORRECT","WRONG")</f>
        <v>WRONG</v>
      </c>
      <c r="J159" t="str">
        <f>IF(F159&gt;0.5,"BULLISH","BEARISH")</f>
        <v>BULLISH</v>
      </c>
    </row>
    <row r="163" spans="3:10" x14ac:dyDescent="0.35">
      <c r="D163" s="262" t="s">
        <v>92</v>
      </c>
      <c r="E163" s="262" t="s">
        <v>642</v>
      </c>
      <c r="F163" s="8" t="s">
        <v>643</v>
      </c>
      <c r="G163" s="262"/>
      <c r="H163" s="49" t="s">
        <v>664</v>
      </c>
    </row>
    <row r="164" spans="3:10" x14ac:dyDescent="0.35">
      <c r="D164" s="262" t="s">
        <v>658</v>
      </c>
      <c r="E164" s="262">
        <v>20720</v>
      </c>
      <c r="F164" s="262">
        <v>8518</v>
      </c>
      <c r="G164" s="262">
        <f>SUM(E164:F164)</f>
        <v>29238</v>
      </c>
      <c r="H164" s="49">
        <v>-0.1</v>
      </c>
    </row>
    <row r="165" spans="3:10" x14ac:dyDescent="0.35">
      <c r="D165" s="262" t="s">
        <v>659</v>
      </c>
      <c r="E165" s="262">
        <v>28012</v>
      </c>
      <c r="F165" s="262">
        <v>32118</v>
      </c>
      <c r="G165" s="262">
        <f>SUM(E165:F165)</f>
        <v>60130</v>
      </c>
    </row>
    <row r="166" spans="3:10" x14ac:dyDescent="0.35">
      <c r="D166" s="262" t="s">
        <v>663</v>
      </c>
      <c r="E166" s="262">
        <f>SUM(E164:E165)</f>
        <v>48732</v>
      </c>
      <c r="F166" s="262">
        <f>SUM(F164:F165)</f>
        <v>40636</v>
      </c>
      <c r="G166" s="262">
        <f>SUM(E166:F166)</f>
        <v>89368</v>
      </c>
    </row>
    <row r="167" spans="3:10" x14ac:dyDescent="0.35">
      <c r="D167" s="262" t="s">
        <v>663</v>
      </c>
      <c r="E167" s="49">
        <f>E166/$G166</f>
        <v>0.54529585533971892</v>
      </c>
      <c r="F167" s="49">
        <f>F166/$G166</f>
        <v>0.45470414466028108</v>
      </c>
      <c r="G167" s="262"/>
    </row>
    <row r="168" spans="3:10" x14ac:dyDescent="0.35">
      <c r="C168" t="str">
        <f>D163</f>
        <v>M</v>
      </c>
      <c r="D168" s="262" t="s">
        <v>658</v>
      </c>
      <c r="E168" s="49">
        <f>E164/$G164</f>
        <v>0.70866680347492994</v>
      </c>
      <c r="F168" s="49">
        <f>F164/$G164</f>
        <v>0.29133319652507011</v>
      </c>
      <c r="G168" s="262"/>
      <c r="H168" s="49">
        <f>H164</f>
        <v>-0.1</v>
      </c>
      <c r="I168" t="str">
        <f>IF(OR(AND(F168&gt;0.5,H164&gt;0),AND(F168&lt;0.5,H164&lt;0)),"CORRECT","WRONG")</f>
        <v>CORRECT</v>
      </c>
      <c r="J168" t="str">
        <f>IF(F168&gt;0.5,"BULLISH","BEARISH")</f>
        <v>BEARISH</v>
      </c>
    </row>
    <row r="169" spans="3:10" x14ac:dyDescent="0.35">
      <c r="C169" t="str">
        <f>D163</f>
        <v>M</v>
      </c>
      <c r="D169" s="262" t="s">
        <v>659</v>
      </c>
      <c r="E169" s="49">
        <f>E165/$G165</f>
        <v>0.46585730916347912</v>
      </c>
      <c r="F169" s="49">
        <f>F165/$G165</f>
        <v>0.53414269083652088</v>
      </c>
      <c r="G169" s="262"/>
      <c r="H169" s="49">
        <f>H164</f>
        <v>-0.1</v>
      </c>
      <c r="I169" t="str">
        <f>IF(OR(AND(F169&gt;0.5,H164&gt;0),AND(F169&lt;0.5,H164&lt;0)),"CORRECT","WRONG")</f>
        <v>WRONG</v>
      </c>
      <c r="J169" t="str">
        <f>IF(F169&gt;0.5,"BULLISH","BEARISH")</f>
        <v>BULLISH</v>
      </c>
    </row>
    <row r="173" spans="3:10" x14ac:dyDescent="0.35">
      <c r="D173" s="262" t="s">
        <v>384</v>
      </c>
      <c r="E173" s="262" t="s">
        <v>642</v>
      </c>
      <c r="F173" s="8" t="s">
        <v>643</v>
      </c>
      <c r="G173" s="262"/>
      <c r="H173" s="49" t="s">
        <v>664</v>
      </c>
    </row>
    <row r="174" spans="3:10" x14ac:dyDescent="0.35">
      <c r="D174" s="262" t="s">
        <v>658</v>
      </c>
      <c r="E174" s="262">
        <v>16020</v>
      </c>
      <c r="F174" s="262">
        <v>40490</v>
      </c>
      <c r="G174" s="262">
        <f>SUM(E174:F174)</f>
        <v>56510</v>
      </c>
      <c r="H174" s="49">
        <v>-6.7000000000000004E-2</v>
      </c>
    </row>
    <row r="175" spans="3:10" x14ac:dyDescent="0.35">
      <c r="D175" s="262" t="s">
        <v>659</v>
      </c>
      <c r="E175" s="262">
        <v>85112</v>
      </c>
      <c r="F175" s="262">
        <v>108218</v>
      </c>
      <c r="G175" s="262">
        <f>SUM(E175:F175)</f>
        <v>193330</v>
      </c>
    </row>
    <row r="176" spans="3:10" x14ac:dyDescent="0.35">
      <c r="D176" s="262" t="s">
        <v>663</v>
      </c>
      <c r="E176" s="262">
        <f>SUM(E174:E175)</f>
        <v>101132</v>
      </c>
      <c r="F176" s="262">
        <f>SUM(F174:F175)</f>
        <v>148708</v>
      </c>
      <c r="G176" s="262">
        <f>SUM(E176:F176)</f>
        <v>249840</v>
      </c>
    </row>
    <row r="177" spans="3:10" x14ac:dyDescent="0.35">
      <c r="D177" s="262" t="s">
        <v>663</v>
      </c>
      <c r="E177" s="49">
        <f>E176/$G176</f>
        <v>0.40478706372078133</v>
      </c>
      <c r="F177" s="49">
        <f>F176/$G176</f>
        <v>0.59521293627921867</v>
      </c>
      <c r="G177" s="262"/>
    </row>
    <row r="178" spans="3:10" x14ac:dyDescent="0.35">
      <c r="C178" t="str">
        <f>D173</f>
        <v>NVDA</v>
      </c>
      <c r="D178" s="262" t="s">
        <v>658</v>
      </c>
      <c r="E178" s="49">
        <f>E174/$G174</f>
        <v>0.28348964784993808</v>
      </c>
      <c r="F178" s="49">
        <f>F174/$G174</f>
        <v>0.71651035215006198</v>
      </c>
      <c r="G178" s="262"/>
      <c r="H178" s="49">
        <f>H174</f>
        <v>-6.7000000000000004E-2</v>
      </c>
      <c r="I178" t="str">
        <f>IF(OR(AND(F178&gt;0.5,H174&gt;0),AND(F178&lt;0.5,H174&lt;0)),"CORRECT","WRONG")</f>
        <v>WRONG</v>
      </c>
      <c r="J178" t="str">
        <f>IF(F178&gt;0.5,"BULLISH","BEARISH")</f>
        <v>BULLISH</v>
      </c>
    </row>
    <row r="179" spans="3:10" x14ac:dyDescent="0.35">
      <c r="C179" t="str">
        <f>D173</f>
        <v>NVDA</v>
      </c>
      <c r="D179" s="262" t="s">
        <v>659</v>
      </c>
      <c r="E179" s="49">
        <f>E175/$G175</f>
        <v>0.44024207313919206</v>
      </c>
      <c r="F179" s="49">
        <f>F175/$G175</f>
        <v>0.55975792686080794</v>
      </c>
      <c r="G179" s="262"/>
      <c r="H179" s="49">
        <f>H174</f>
        <v>-6.7000000000000004E-2</v>
      </c>
      <c r="I179" t="str">
        <f>IF(OR(AND(F179&gt;0.5,H174&gt;0),AND(F179&lt;0.5,H174&lt;0)),"CORRECT","WRONG")</f>
        <v>WRONG</v>
      </c>
      <c r="J179" t="str">
        <f>IF(F179&gt;0.5,"BULLISH","BEARISH")</f>
        <v>BULLISH</v>
      </c>
    </row>
    <row r="183" spans="3:10" x14ac:dyDescent="0.35">
      <c r="D183" s="262" t="s">
        <v>414</v>
      </c>
      <c r="E183" s="262" t="s">
        <v>642</v>
      </c>
      <c r="F183" s="8" t="s">
        <v>643</v>
      </c>
      <c r="G183" s="262"/>
      <c r="H183" s="49" t="s">
        <v>664</v>
      </c>
    </row>
    <row r="184" spans="3:10" x14ac:dyDescent="0.35">
      <c r="D184" s="262" t="s">
        <v>658</v>
      </c>
      <c r="E184" s="262">
        <v>16020</v>
      </c>
      <c r="F184" s="262">
        <v>20354</v>
      </c>
      <c r="G184" s="262">
        <f>SUM(E184:F184)</f>
        <v>36374</v>
      </c>
      <c r="H184" s="49">
        <v>-0.16</v>
      </c>
    </row>
    <row r="185" spans="3:10" x14ac:dyDescent="0.35">
      <c r="D185" s="262" t="s">
        <v>659</v>
      </c>
      <c r="E185" s="262">
        <v>85112</v>
      </c>
      <c r="F185" s="262">
        <v>151230</v>
      </c>
      <c r="G185" s="262">
        <f>SUM(E185:F185)</f>
        <v>236342</v>
      </c>
    </row>
    <row r="186" spans="3:10" x14ac:dyDescent="0.35">
      <c r="D186" s="262" t="s">
        <v>663</v>
      </c>
      <c r="E186" s="262">
        <f>SUM(E184:E185)</f>
        <v>101132</v>
      </c>
      <c r="F186" s="262">
        <f>SUM(F184:F185)</f>
        <v>171584</v>
      </c>
      <c r="G186" s="262">
        <f>SUM(E186:F186)</f>
        <v>272716</v>
      </c>
    </row>
    <row r="187" spans="3:10" x14ac:dyDescent="0.35">
      <c r="D187" s="262" t="s">
        <v>663</v>
      </c>
      <c r="E187" s="49">
        <f>E186/$G186</f>
        <v>0.3708326610833248</v>
      </c>
      <c r="F187" s="49">
        <f>F186/$G186</f>
        <v>0.6291673389166752</v>
      </c>
      <c r="G187" s="262"/>
    </row>
    <row r="188" spans="3:10" x14ac:dyDescent="0.35">
      <c r="C188" t="str">
        <f>D183</f>
        <v>SNAP</v>
      </c>
      <c r="D188" s="262" t="s">
        <v>658</v>
      </c>
      <c r="E188" s="49">
        <f>E184/$G184</f>
        <v>0.44042447902347831</v>
      </c>
      <c r="F188" s="49">
        <f>F184/$G184</f>
        <v>0.55957552097652175</v>
      </c>
      <c r="G188" s="262"/>
      <c r="H188" s="49">
        <f>H184</f>
        <v>-0.16</v>
      </c>
      <c r="I188" t="str">
        <f>IF(OR(AND(F188&gt;0.5,H184&gt;0),AND(F188&lt;0.5,H184&lt;0)),"CORRECT","WRONG")</f>
        <v>WRONG</v>
      </c>
      <c r="J188" t="str">
        <f>IF(F188&gt;0.5,"BULLISH","BEARISH")</f>
        <v>BULLISH</v>
      </c>
    </row>
    <row r="189" spans="3:10" x14ac:dyDescent="0.35">
      <c r="C189" t="str">
        <f>D183</f>
        <v>SNAP</v>
      </c>
      <c r="D189" s="262" t="s">
        <v>659</v>
      </c>
      <c r="E189" s="49">
        <f>E185/$G185</f>
        <v>0.36012219580100024</v>
      </c>
      <c r="F189" s="49">
        <f>F185/$G185</f>
        <v>0.63987780419899976</v>
      </c>
      <c r="G189" s="262"/>
      <c r="H189" s="49">
        <f>H184</f>
        <v>-0.16</v>
      </c>
      <c r="I189" t="str">
        <f>IF(OR(AND(F189&gt;0.5,H184&gt;0),AND(F189&lt;0.5,H184&lt;0)),"CORRECT","WRONG")</f>
        <v>WRONG</v>
      </c>
      <c r="J189" t="str">
        <f>IF(F189&gt;0.5,"BULLISH","BEARISH")</f>
        <v>BULLISH</v>
      </c>
    </row>
    <row r="193" spans="3:10" x14ac:dyDescent="0.35">
      <c r="D193" s="263" t="s">
        <v>442</v>
      </c>
      <c r="E193" s="263" t="s">
        <v>642</v>
      </c>
      <c r="F193" s="8" t="s">
        <v>643</v>
      </c>
      <c r="G193" s="263"/>
      <c r="H193" s="49" t="s">
        <v>664</v>
      </c>
    </row>
    <row r="194" spans="3:10" x14ac:dyDescent="0.35">
      <c r="D194" s="263" t="s">
        <v>658</v>
      </c>
      <c r="E194" s="263">
        <v>81605</v>
      </c>
      <c r="F194" s="263">
        <v>156250</v>
      </c>
      <c r="G194" s="263">
        <f>SUM(E194:F194)</f>
        <v>237855</v>
      </c>
      <c r="H194" s="49">
        <v>4.4999999999999998E-2</v>
      </c>
    </row>
    <row r="195" spans="3:10" x14ac:dyDescent="0.35">
      <c r="D195" s="263" t="s">
        <v>659</v>
      </c>
      <c r="E195" s="263">
        <v>301913</v>
      </c>
      <c r="F195" s="263">
        <v>552439</v>
      </c>
      <c r="G195" s="263">
        <f>SUM(E195:F195)</f>
        <v>854352</v>
      </c>
    </row>
    <row r="196" spans="3:10" x14ac:dyDescent="0.35">
      <c r="D196" s="263" t="s">
        <v>663</v>
      </c>
      <c r="E196" s="263">
        <f>SUM(E194:E195)</f>
        <v>383518</v>
      </c>
      <c r="F196" s="263">
        <f>SUM(F194:F195)</f>
        <v>708689</v>
      </c>
      <c r="G196" s="263">
        <f>SUM(E196:F196)</f>
        <v>1092207</v>
      </c>
    </row>
    <row r="197" spans="3:10" x14ac:dyDescent="0.35">
      <c r="D197" s="263" t="s">
        <v>663</v>
      </c>
      <c r="E197" s="49">
        <f>E196/$G196</f>
        <v>0.35114039737888514</v>
      </c>
      <c r="F197" s="49">
        <f>F196/$G196</f>
        <v>0.64885960262111486</v>
      </c>
      <c r="G197" s="263"/>
    </row>
    <row r="198" spans="3:10" x14ac:dyDescent="0.35">
      <c r="C198" t="str">
        <f>D193</f>
        <v>BABA</v>
      </c>
      <c r="D198" s="263" t="s">
        <v>658</v>
      </c>
      <c r="E198" s="49">
        <f>E194/$G194</f>
        <v>0.34308717495953417</v>
      </c>
      <c r="F198" s="49">
        <f>F194/$G194</f>
        <v>0.65691282504046578</v>
      </c>
      <c r="G198" s="263"/>
      <c r="H198" s="49">
        <f>H194</f>
        <v>4.4999999999999998E-2</v>
      </c>
      <c r="I198" t="str">
        <f>IF(OR(AND(F198&gt;0.5,H194&gt;0),AND(F198&lt;0.5,H194&lt;0)),"CORRECT","WRONG")</f>
        <v>CORRECT</v>
      </c>
      <c r="J198" t="str">
        <f>IF(F198&gt;0.5,"BULLISH","BEARISH")</f>
        <v>BULLISH</v>
      </c>
    </row>
    <row r="199" spans="3:10" x14ac:dyDescent="0.35">
      <c r="C199" t="str">
        <f>D193</f>
        <v>BABA</v>
      </c>
      <c r="D199" s="263" t="s">
        <v>659</v>
      </c>
      <c r="E199" s="49">
        <f>E195/$G195</f>
        <v>0.35338244657939583</v>
      </c>
      <c r="F199" s="49">
        <f>F195/$G195</f>
        <v>0.64661755342060412</v>
      </c>
      <c r="G199" s="263"/>
      <c r="H199" s="49">
        <f>H194</f>
        <v>4.4999999999999998E-2</v>
      </c>
      <c r="I199" t="str">
        <f>IF(OR(AND(F199&gt;0.5,H194&gt;0),AND(F199&lt;0.5,H194&lt;0)),"CORRECT","WRONG")</f>
        <v>CORRECT</v>
      </c>
      <c r="J199" t="str">
        <f>IF(F199&gt;0.5,"BULLISH","BEARISH")</f>
        <v>BULLISH</v>
      </c>
    </row>
  </sheetData>
  <autoFilter ref="C1:J179" xr:uid="{00000000-0009-0000-0000-000017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1"/>
  <dimension ref="A1:AC146"/>
  <sheetViews>
    <sheetView topLeftCell="A5" zoomScaleNormal="100" workbookViewId="0">
      <pane xSplit="5" ySplit="9" topLeftCell="F131" activePane="bottomRight" state="frozen"/>
      <selection activeCell="A5" sqref="A5"/>
      <selection pane="topRight" activeCell="E5" sqref="E5"/>
      <selection pane="bottomLeft" activeCell="A14" sqref="A14"/>
      <selection pane="bottomRight" activeCell="H135" sqref="H135"/>
    </sheetView>
  </sheetViews>
  <sheetFormatPr defaultRowHeight="14.5" x14ac:dyDescent="0.35"/>
  <cols>
    <col min="5" max="5" width="12.54296875" bestFit="1" customWidth="1"/>
    <col min="6" max="6" width="11.54296875" customWidth="1"/>
    <col min="7" max="7" width="17.1796875" customWidth="1"/>
    <col min="8" max="8" width="12.7265625" style="127" customWidth="1"/>
    <col min="9" max="9" width="9.81640625" bestFit="1" customWidth="1"/>
    <col min="10" max="11" width="13" customWidth="1"/>
    <col min="12" max="12" width="15.54296875" bestFit="1" customWidth="1"/>
    <col min="13" max="13" width="13" customWidth="1"/>
    <col min="14" max="14" width="10.54296875" style="190" bestFit="1" customWidth="1"/>
    <col min="15" max="15" width="17.81640625" style="5" bestFit="1" customWidth="1"/>
    <col min="16" max="16" width="8.81640625" style="30" bestFit="1" customWidth="1"/>
    <col min="17" max="17" width="9.453125" style="30" bestFit="1" customWidth="1"/>
    <col min="18" max="19" width="8.81640625" style="30" bestFit="1" customWidth="1"/>
    <col min="22" max="22" width="20.81640625" customWidth="1"/>
    <col min="23" max="23" width="16.26953125" customWidth="1"/>
    <col min="24" max="24" width="14.81640625" customWidth="1"/>
  </cols>
  <sheetData>
    <row r="1" spans="1:29" x14ac:dyDescent="0.35">
      <c r="E1" t="s">
        <v>167</v>
      </c>
    </row>
    <row r="2" spans="1:29" x14ac:dyDescent="0.35">
      <c r="E2" t="s">
        <v>168</v>
      </c>
      <c r="G2" s="29">
        <f>16417.78</f>
        <v>16417.78</v>
      </c>
    </row>
    <row r="3" spans="1:29" x14ac:dyDescent="0.35">
      <c r="E3" t="s">
        <v>166</v>
      </c>
      <c r="G3" s="29">
        <f>42194.87</f>
        <v>42194.87</v>
      </c>
    </row>
    <row r="4" spans="1:29" x14ac:dyDescent="0.35">
      <c r="E4" t="s">
        <v>171</v>
      </c>
      <c r="G4" s="29">
        <f>SUM(G2:G3)</f>
        <v>58612.65</v>
      </c>
      <c r="H4" s="127" t="s">
        <v>167</v>
      </c>
    </row>
    <row r="5" spans="1:29" x14ac:dyDescent="0.35">
      <c r="E5" t="s">
        <v>172</v>
      </c>
      <c r="G5" s="29">
        <f>114846.28</f>
        <v>114846.28</v>
      </c>
      <c r="H5" s="127" t="s">
        <v>169</v>
      </c>
      <c r="I5" t="s">
        <v>175</v>
      </c>
      <c r="L5">
        <f>((1.78-1.4)*400-2*(4*0.8+10))</f>
        <v>125.60000000000005</v>
      </c>
      <c r="M5">
        <f>(0.65*700 -7*1.25-7)-(0.31*700 +7*1.25+7)</f>
        <v>206.5</v>
      </c>
      <c r="N5" s="190">
        <f>+(0.9*500-5*1.25)</f>
        <v>443.75</v>
      </c>
      <c r="O5" s="5">
        <f>(4*200-2*1.25-7)-(3.55*200+2*1.25+7)</f>
        <v>71</v>
      </c>
      <c r="P5" s="30">
        <f>-(3.05*500+5*1.75+25)+(3.4*500-5*1.75-25)</f>
        <v>107.5</v>
      </c>
      <c r="Q5" s="30">
        <f>(0.76*600-6*1.75-25)</f>
        <v>420.5</v>
      </c>
      <c r="R5" s="30">
        <f>-(3.4*200+2*1.25+7)</f>
        <v>-689.5</v>
      </c>
      <c r="S5" s="30">
        <f>((1.83-1.48)*1200-2*(12*1.25+7))</f>
        <v>376.00000000000011</v>
      </c>
      <c r="T5">
        <f>((0.6-0.18)*800-8*1.75-25)</f>
        <v>297</v>
      </c>
      <c r="U5">
        <f>-(0.25*1000)+(0.6*1000)</f>
        <v>350</v>
      </c>
      <c r="V5" s="70">
        <f>+((0.45-0.03)*100)-(0.73*500)+(0.81*500)</f>
        <v>82</v>
      </c>
      <c r="W5">
        <f>((0.74-0.56)*300)</f>
        <v>53.999999999999979</v>
      </c>
      <c r="X5">
        <f>((0.33-0.25)*1700)</f>
        <v>136.00000000000003</v>
      </c>
      <c r="Y5">
        <f>+((3.08-3.05)*1000)</f>
        <v>30.000000000000249</v>
      </c>
      <c r="Z5">
        <f>+((1.59-1.55)*3000)</f>
        <v>120.00000000000011</v>
      </c>
      <c r="AA5">
        <f>+((0.52-0.31)*1200)</f>
        <v>252.00000000000003</v>
      </c>
      <c r="AB5">
        <f>+((2.15-1.95)*500-2*(5*1.75+25))</f>
        <v>32.499999999999972</v>
      </c>
    </row>
    <row r="6" spans="1:29" x14ac:dyDescent="0.35">
      <c r="E6" t="s">
        <v>173</v>
      </c>
      <c r="G6" s="29">
        <f>G5-G4</f>
        <v>56233.63</v>
      </c>
      <c r="H6" s="127" t="s">
        <v>170</v>
      </c>
      <c r="K6">
        <f>+((0.82-0.55)*1000-2*(10*0.8+10))</f>
        <v>233.99999999999989</v>
      </c>
      <c r="L6">
        <f>-(1.29*300+5)+(2.05*500-5)</f>
        <v>628</v>
      </c>
      <c r="M6">
        <f>(1.06*6000 - 60*1.25-7) -(0.93*6000 +60*1.25+7)</f>
        <v>616</v>
      </c>
      <c r="N6" s="190">
        <f>+((17.3-17.05)*800-2*(8*1.75+25))</f>
        <v>122</v>
      </c>
      <c r="O6" s="5">
        <f>(1.58*5000-50*1.25-7)-(1.4*5000+50*1.25+7)</f>
        <v>761</v>
      </c>
      <c r="P6" s="30">
        <f>(2.14*1200-12*1.25-7)-(1.87*1200+12*1.25+7)</f>
        <v>280</v>
      </c>
      <c r="Q6" s="30">
        <f>+(1.05*300-4*1.75-25)</f>
        <v>283</v>
      </c>
      <c r="R6" s="30">
        <f>+((0.46-0.35)*2000-2*(20*1.25+7))</f>
        <v>156.00000000000009</v>
      </c>
      <c r="S6" s="30">
        <f>(16.5*200-2*1.25-7)-(12.1*200+2*1.25+7)+2900</f>
        <v>3761</v>
      </c>
      <c r="T6">
        <f>(10.77*200-2*1.75-25)</f>
        <v>2125.5</v>
      </c>
      <c r="U6">
        <f>-(1.17*500)+(1.43*500)</f>
        <v>130</v>
      </c>
      <c r="V6" s="70">
        <f>-(0.31*500)+(0.54*500)</f>
        <v>115</v>
      </c>
      <c r="W6">
        <f>((2.24-1.89)*1500)</f>
        <v>525.00000000000045</v>
      </c>
      <c r="X6">
        <f>-(0.88*300)+(0.85*300)</f>
        <v>-9</v>
      </c>
      <c r="Y6">
        <f>+((3.05-2.47)*1000-2*(10*1.75+25))</f>
        <v>494.99999999999966</v>
      </c>
      <c r="Z6">
        <f>-(0.75*100+0.8*900)+(0.85*1000)</f>
        <v>55</v>
      </c>
      <c r="AA6">
        <f>+((0.78-0.17)*100)</f>
        <v>61</v>
      </c>
      <c r="AB6">
        <f>+((6.45-0.35)*100-2*(1.75+25))</f>
        <v>556.5</v>
      </c>
      <c r="AC6">
        <f>-(2.15*300+3*1.8+25)+(2.36*300-3*1.8-25)</f>
        <v>2.2000000000000455</v>
      </c>
    </row>
    <row r="7" spans="1:29" x14ac:dyDescent="0.35">
      <c r="B7">
        <f>7/44</f>
        <v>0.15909090909090909</v>
      </c>
      <c r="E7" t="s">
        <v>1</v>
      </c>
      <c r="G7" s="29">
        <v>52200</v>
      </c>
      <c r="K7">
        <f>+((2.95-2.52)*200-2*(2*0.8+10))</f>
        <v>62.800000000000026</v>
      </c>
      <c r="L7">
        <f>-(12.75*600+5)+(5.27*1500-5)</f>
        <v>244.99999999999909</v>
      </c>
      <c r="M7">
        <f>(5.25*1000-10*1.25-7)-(4.5*1000+10*1.25+7)</f>
        <v>711</v>
      </c>
      <c r="N7" s="190">
        <f>-(0.03*200+2*1.25)</f>
        <v>-8.5</v>
      </c>
      <c r="O7" s="5">
        <f>(0.52-0.37)*1200-24*1.25-15</f>
        <v>135.00000000000003</v>
      </c>
      <c r="P7" s="30">
        <f>+((10.92-6.92)*100-2*(1*1.75+25))</f>
        <v>346.5</v>
      </c>
      <c r="Q7" s="30">
        <f>+((1.44-1.26)*3000-2*(30*1.25+7))</f>
        <v>450.99999999999977</v>
      </c>
      <c r="R7" s="30">
        <f>+((6.05-6.2)*500-2*(5*1.25+7))</f>
        <v>-101.50000000000017</v>
      </c>
      <c r="S7" s="30">
        <f>+((114.58-100)*200-7)</f>
        <v>2908.9999999999995</v>
      </c>
      <c r="T7">
        <f>10.77*100-1.75-25</f>
        <v>1050.25</v>
      </c>
      <c r="U7">
        <f>-(0.17*1000)+(0.44*1000)</f>
        <v>270</v>
      </c>
      <c r="V7" s="70">
        <f>-(0.27*500)+(0.49*500)</f>
        <v>110</v>
      </c>
      <c r="W7">
        <f>((1.76-1.36)*1000-2*(10*1.75+25))</f>
        <v>314.99999999999989</v>
      </c>
      <c r="X7">
        <f>((3.4-2.55)*600)</f>
        <v>510.00000000000006</v>
      </c>
      <c r="Y7">
        <f>-(0.33*2000)+(0.45*2000)</f>
        <v>240</v>
      </c>
      <c r="Z7">
        <f>+((0.57-0.54)*1700)</f>
        <v>50.999999999999858</v>
      </c>
      <c r="AA7">
        <f>-(0.02*200)+((1.14-0.34)*100)</f>
        <v>75.999999999999986</v>
      </c>
      <c r="AB7">
        <f>+((0.93-0.55)*400-2*(4*1.75+25))</f>
        <v>88</v>
      </c>
      <c r="AC7">
        <f>+((0.61-0.47)*400)</f>
        <v>56.000000000000007</v>
      </c>
    </row>
    <row r="8" spans="1:29" x14ac:dyDescent="0.35">
      <c r="E8" t="s">
        <v>85</v>
      </c>
      <c r="G8" s="29">
        <v>25950</v>
      </c>
      <c r="K8">
        <f>+((1.2-0.7)*200-2*(2*0.8+10))</f>
        <v>76.8</v>
      </c>
      <c r="L8">
        <f>-(9*1000+5)+(36.5*200-5)+(8.65*200-5)</f>
        <v>15</v>
      </c>
      <c r="M8">
        <f>(3.14*1000-10*1.25-7)-(2.88*1000 +10*1.25+7)</f>
        <v>221</v>
      </c>
      <c r="N8" s="190">
        <f>(0.36*200-2*1.25-7)-(0.25*200+2*1.25+7)</f>
        <v>3</v>
      </c>
      <c r="O8" s="5">
        <f>(0.76*2500-25*1.25-7)+(0.74*500-5*1.25-7)-(0.69*3000+30*1.25+7)</f>
        <v>104</v>
      </c>
      <c r="P8" s="30">
        <f>(0.12*200+2*1.25+7)</f>
        <v>33.5</v>
      </c>
      <c r="Q8" s="30">
        <f>+((7.7-7.6)*200-2*(2*1.25+7))</f>
        <v>1.0000000000001066</v>
      </c>
      <c r="R8" s="30">
        <f>+((112.1-104.1)*100-2*(1.25+7))</f>
        <v>783.5</v>
      </c>
      <c r="S8" s="30">
        <f>-(1.13*400+4*1.75+25)</f>
        <v>-483.99999999999994</v>
      </c>
      <c r="T8">
        <f>10.95*100-1.75-25</f>
        <v>1068.25</v>
      </c>
      <c r="U8">
        <f>-(54.5*100)+(62.1*100)</f>
        <v>760</v>
      </c>
      <c r="V8" s="70">
        <f>-(0.28*500)+(0.52*500)</f>
        <v>120</v>
      </c>
      <c r="W8">
        <f>((0.33-0.29)*200)</f>
        <v>8.0000000000000071</v>
      </c>
      <c r="X8">
        <f>((3.45-2.62)*1500)</f>
        <v>1245</v>
      </c>
      <c r="Y8">
        <f>+(0.5*200-25-1.75*2)</f>
        <v>71.5</v>
      </c>
      <c r="Z8">
        <f>+((0.87-0.67)*2000)</f>
        <v>399.99999999999989</v>
      </c>
      <c r="AA8">
        <f>+((0.72-0.3)*1000-2*(10*1.75+25))</f>
        <v>335</v>
      </c>
      <c r="AB8">
        <f>-(2.59*500)+(2.88*400+2.89*100)</f>
        <v>146</v>
      </c>
      <c r="AC8">
        <f>+((0.7-0.27)*600-2*(6*1.8+25))</f>
        <v>186.39999999999995</v>
      </c>
    </row>
    <row r="9" spans="1:29" x14ac:dyDescent="0.35">
      <c r="E9" t="s">
        <v>72</v>
      </c>
      <c r="G9" s="29">
        <v>25152.559999999998</v>
      </c>
      <c r="K9">
        <f>+((4.16-3.8)*400-2*5)</f>
        <v>134.00000000000011</v>
      </c>
      <c r="L9">
        <f>+((6.85-5.95)*100-2*(1*0.8+10))</f>
        <v>68.399999999999949</v>
      </c>
      <c r="M9">
        <f>(0.63*700 -7*1.25-7)-(0.61*700 +7*1.25+7)</f>
        <v>-17.5</v>
      </c>
      <c r="N9" s="190">
        <f>(0.28*3000-30*1.25-7)-(0.08*3000+30*1.25+7)</f>
        <v>511.00000000000011</v>
      </c>
      <c r="O9" s="5">
        <f>(0.3*5000-50*1.25-7)-(0.07*5000+50*1.25+7)</f>
        <v>1011</v>
      </c>
      <c r="P9" s="30">
        <f>+(1.09*300-3*1.25-7)-(1.06*300+3*1.25+7)</f>
        <v>-12.5</v>
      </c>
      <c r="Q9" s="30">
        <f>((1.13-0.92)*1200-2*(12*1.25+7))</f>
        <v>207.99999999999983</v>
      </c>
      <c r="R9" s="30">
        <f>+((1.89-1.74)*600-2*(6*1.75+25))</f>
        <v>18.999999999999943</v>
      </c>
      <c r="S9" s="30">
        <f>+((3.2-2.68)*600-2*(6*1.75+25))</f>
        <v>241</v>
      </c>
      <c r="T9">
        <f>+(0.85*300-3*1.75-25)</f>
        <v>224.75</v>
      </c>
      <c r="U9">
        <f>+((3.12-2.73)*1200)</f>
        <v>468.00000000000017</v>
      </c>
      <c r="V9" s="70">
        <f>-(45.8*100)+(47.1*100)</f>
        <v>130</v>
      </c>
      <c r="W9">
        <f>((0.84-0.4)*500-2*(5*1.75+25))</f>
        <v>152.49999999999997</v>
      </c>
      <c r="X9">
        <f>+((1.45-1.39)*200)</f>
        <v>12.000000000000011</v>
      </c>
      <c r="Y9">
        <f>((1.23-0.7)*1000-2*(10*1.75+25))</f>
        <v>445</v>
      </c>
      <c r="Z9">
        <f>((5.85-4.55)*300-2*(3*1.75+25))</f>
        <v>329.49999999999994</v>
      </c>
      <c r="AA9">
        <f>+((70.5-64)*100)</f>
        <v>650</v>
      </c>
      <c r="AB9">
        <f>-(0.39*900+0.4*800)+(0.55*1700)</f>
        <v>264.00000000000011</v>
      </c>
      <c r="AC9">
        <f>+((6.9-5.7)*100-2*(1.75+25))</f>
        <v>66.500000000000014</v>
      </c>
    </row>
    <row r="10" spans="1:29" x14ac:dyDescent="0.35">
      <c r="G10" s="29">
        <f>SUM(G7:G9)</f>
        <v>103302.56</v>
      </c>
      <c r="H10" s="127" t="s">
        <v>174</v>
      </c>
      <c r="K10">
        <f>((1.74-1.7)*400-2*5)</f>
        <v>6.0000000000000142</v>
      </c>
      <c r="L10">
        <f>+((1.58-1.38)*1000-2*(10*0.8+10))</f>
        <v>164.00000000000017</v>
      </c>
      <c r="M10">
        <f>+(1.54*1200 -12*1.25-7)-(1.51*1200+12*1.25+7)</f>
        <v>-8</v>
      </c>
      <c r="N10" s="190">
        <f>+(0.55*1200-12*1.25-7)-(0.4*1200+12*1.25+7)</f>
        <v>136</v>
      </c>
      <c r="O10" s="5">
        <f>(0.64-0.61)*2000-(20*1.25+7)*2</f>
        <v>-3.9999999999999432</v>
      </c>
      <c r="P10" s="30">
        <f>(0.51*600-6*1.75)</f>
        <v>295.5</v>
      </c>
      <c r="Q10" s="30">
        <f>+(1.31*200-2*1.25-7)</f>
        <v>252.5</v>
      </c>
      <c r="R10" s="30">
        <f>(0.58*1000-10*1.75-25)-(0.25*1000+10*1.75+25)</f>
        <v>245</v>
      </c>
      <c r="S10" s="30">
        <f>-(0.1*900+9*1.25+7)-(0.06*100+1.25+7)</f>
        <v>-122.5</v>
      </c>
      <c r="T10">
        <f>+(0.25*800-8*1.75-25)</f>
        <v>161</v>
      </c>
      <c r="U10">
        <f>-(1.33*300+3*0)+(1.6*300-3*0)</f>
        <v>81</v>
      </c>
      <c r="V10" s="70">
        <f>-(0.83*500)+(0.95*500)</f>
        <v>60</v>
      </c>
      <c r="W10">
        <f>-(0.54*200)+(0.64*200)</f>
        <v>20</v>
      </c>
      <c r="X10">
        <f>+((2.85-2.8)*3300)</f>
        <v>165.00000000000088</v>
      </c>
      <c r="Y10">
        <f>(0.2*100)</f>
        <v>20</v>
      </c>
      <c r="Z10">
        <f>((0.83-0.38)*1000-2*(1.75*10+25))</f>
        <v>364.99999999999994</v>
      </c>
      <c r="AA10">
        <f>+((0.39-0.19)*1200)</f>
        <v>240</v>
      </c>
      <c r="AB10">
        <f>+((6.85-2)*100)</f>
        <v>484.99999999999994</v>
      </c>
      <c r="AC10">
        <f>+((5.55-5.35)*300-2*(3*1.75+25))</f>
        <v>-0.49999999999994316</v>
      </c>
    </row>
    <row r="11" spans="1:29" x14ac:dyDescent="0.35">
      <c r="J11">
        <f>((10-9.7)*100-2*(0.8+10))</f>
        <v>8.4000000000000696</v>
      </c>
      <c r="K11">
        <f>((1.05-0.67)*100-2*5)</f>
        <v>28</v>
      </c>
      <c r="L11">
        <f>+((0.88-0.38)*200-2*(2*0.8+10))</f>
        <v>76.8</v>
      </c>
      <c r="M11">
        <f>(2.58*200-2*1.25-7)-(2.25*200+2*1.25+7)</f>
        <v>47</v>
      </c>
      <c r="N11" s="191">
        <f>-(0.54*200+2*1.25+7)+(1.47*200-2*1.25-7)</f>
        <v>167</v>
      </c>
      <c r="O11" s="5">
        <f>+(3.6*200-2*1.25-7)-(3.4*200+2*1.25+7)</f>
        <v>21</v>
      </c>
      <c r="P11" s="30">
        <f>(0.6*600-6*1.75-25)</f>
        <v>324.5</v>
      </c>
      <c r="Q11" s="30">
        <f>-(2.55*6000+60*1.25+7)</f>
        <v>-15381.999999999998</v>
      </c>
      <c r="R11" s="30">
        <f>+((2.6-1.58)*500-2*(5*1.75+25))</f>
        <v>442.5</v>
      </c>
      <c r="S11" s="30">
        <f>+((2.63-2.43)*300-2*(3*1.75+25))</f>
        <v>-0.50000000000007816</v>
      </c>
      <c r="T11">
        <f>+((5.2-4.65)*600-2*(6*1.25+7))</f>
        <v>300.99999999999989</v>
      </c>
      <c r="U11">
        <f>(6.92*100+1.75+25)</f>
        <v>718.75</v>
      </c>
      <c r="V11" s="70">
        <f>-(0.94*500)+(1.14*500)</f>
        <v>100</v>
      </c>
      <c r="W11">
        <f>((2.75-2.6)*500)</f>
        <v>74.999999999999957</v>
      </c>
      <c r="X11">
        <f>((1.16-1.01)*1200)</f>
        <v>179.99999999999989</v>
      </c>
      <c r="Y11">
        <f>(0.62*200-2*1.75-25)</f>
        <v>95.5</v>
      </c>
      <c r="Z11">
        <f>+((0.57-0.45)*600)</f>
        <v>71.999999999999957</v>
      </c>
      <c r="AA11">
        <f>((3.35-3.3)*500-2*5)</f>
        <v>15.000000000000135</v>
      </c>
      <c r="AB11">
        <f>-(0.52*4500+5)-(0.15*500+5)+(27.8*100-5)</f>
        <v>350</v>
      </c>
    </row>
    <row r="12" spans="1:29" x14ac:dyDescent="0.35">
      <c r="G12" s="282" t="s">
        <v>89</v>
      </c>
      <c r="H12" s="282"/>
      <c r="I12" s="32"/>
      <c r="J12" s="33">
        <f>((1.21-0.37)*200-2*(0.8*2+10))</f>
        <v>144.80000000000001</v>
      </c>
      <c r="K12" s="33">
        <f>+((1.56-1.13)*200-2*(2*0.8+10))</f>
        <v>62.800000000000026</v>
      </c>
      <c r="L12" s="33">
        <f>((2.76-2.34)*300-2*(3*0.8+10))</f>
        <v>101.19999999999997</v>
      </c>
      <c r="M12" s="69">
        <f>(4.4*100-1.25-7)-(4*100+1.25+7)</f>
        <v>23.500000000000057</v>
      </c>
      <c r="N12" s="190">
        <f>+(0.41*8800-88*1.25-7)-(2.97*1000+10*1.25+7)</f>
        <v>501.5</v>
      </c>
      <c r="O12" s="5">
        <f>+(0.31*1000-10*1.25-7)-(0.3*1000+10*1.25+7)</f>
        <v>-29</v>
      </c>
      <c r="P12" s="215">
        <f>(0.31*900-9*1.25-7)-(0.12*900+9*1.25+7)</f>
        <v>134.5</v>
      </c>
      <c r="Q12" s="215">
        <f>(0.7*100-1.75-25)</f>
        <v>43.25</v>
      </c>
      <c r="R12" s="30">
        <f>+((4.85-4.55)*1100-2*(11*1.75+25))</f>
        <v>241.49999999999983</v>
      </c>
      <c r="S12" s="215">
        <f>+((3.09-2.65)*600-2*(6*1.25+7))</f>
        <v>234.99999999999994</v>
      </c>
      <c r="T12">
        <f>+((1.81-1.31)*1000-2*(10*1.75+25))</f>
        <v>415</v>
      </c>
      <c r="U12">
        <f>+((4.35-3.75)*1000-2*(10*1.75+25))</f>
        <v>514.99999999999966</v>
      </c>
      <c r="V12">
        <f>+((0.4-0.24)*600)</f>
        <v>96.000000000000014</v>
      </c>
      <c r="W12" s="29">
        <f>+((0.4-0.24)*600)</f>
        <v>96.000000000000014</v>
      </c>
      <c r="X12">
        <f>+((2.92-2.65)*100-2*5)</f>
        <v>17</v>
      </c>
      <c r="Y12">
        <f>-(0.01*2800+5)+(0.07*1300-5)+(0.06*1500-5)</f>
        <v>138</v>
      </c>
      <c r="Z12">
        <f>+((4.15-3.98)*100-2*5)</f>
        <v>7.0000000000000355</v>
      </c>
      <c r="AA12">
        <f>((0.12-0.05)*1400-2*5)</f>
        <v>87.999999999999986</v>
      </c>
    </row>
    <row r="13" spans="1:29" x14ac:dyDescent="0.35">
      <c r="A13" t="s">
        <v>342</v>
      </c>
      <c r="B13" t="s">
        <v>376</v>
      </c>
      <c r="C13" t="s">
        <v>439</v>
      </c>
      <c r="E13" t="s">
        <v>88</v>
      </c>
      <c r="F13" s="74" t="s">
        <v>90</v>
      </c>
      <c r="G13" s="74" t="s">
        <v>441</v>
      </c>
      <c r="H13" s="74" t="s">
        <v>435</v>
      </c>
      <c r="I13" s="74" t="s">
        <v>94</v>
      </c>
      <c r="J13" s="74" t="s">
        <v>440</v>
      </c>
      <c r="K13" s="74" t="s">
        <v>165</v>
      </c>
      <c r="L13" s="74" t="s">
        <v>118</v>
      </c>
      <c r="M13" s="74" t="s">
        <v>179</v>
      </c>
      <c r="N13" s="191" t="s">
        <v>104</v>
      </c>
      <c r="O13" s="74" t="s">
        <v>176</v>
      </c>
    </row>
    <row r="14" spans="1:29" x14ac:dyDescent="0.35">
      <c r="B14">
        <f>WEEKNUM(E14)</f>
        <v>26</v>
      </c>
      <c r="C14">
        <f>YEAR(E14)</f>
        <v>2015</v>
      </c>
      <c r="D14">
        <f>F14</f>
        <v>2360</v>
      </c>
      <c r="E14" s="31">
        <v>42181</v>
      </c>
      <c r="F14" s="74">
        <v>2360</v>
      </c>
      <c r="G14" s="74"/>
      <c r="H14" s="74"/>
      <c r="I14" s="74"/>
      <c r="J14" s="74"/>
      <c r="K14" s="74"/>
      <c r="L14" s="74"/>
      <c r="M14" s="74"/>
      <c r="N14" s="191"/>
      <c r="O14" s="74"/>
    </row>
    <row r="15" spans="1:29" x14ac:dyDescent="0.35">
      <c r="B15">
        <f t="shared" ref="B15:B78" si="0">WEEKNUM(E15)</f>
        <v>27</v>
      </c>
      <c r="C15">
        <f t="shared" ref="C15:C78" si="1">YEAR(E15)</f>
        <v>2015</v>
      </c>
      <c r="D15">
        <f t="shared" ref="D15:D21" si="2">F15</f>
        <v>2740</v>
      </c>
      <c r="E15" s="31">
        <v>42188</v>
      </c>
      <c r="F15" s="74">
        <v>2740</v>
      </c>
      <c r="G15" s="74"/>
      <c r="H15" s="74"/>
      <c r="I15" s="74"/>
      <c r="J15" s="74"/>
      <c r="K15" s="74"/>
      <c r="L15" s="74"/>
      <c r="M15" s="74"/>
      <c r="N15" s="191"/>
      <c r="O15" s="74"/>
    </row>
    <row r="16" spans="1:29" x14ac:dyDescent="0.35">
      <c r="B16">
        <f t="shared" si="0"/>
        <v>28</v>
      </c>
      <c r="C16">
        <f t="shared" si="1"/>
        <v>2015</v>
      </c>
      <c r="D16">
        <f t="shared" si="2"/>
        <v>3950</v>
      </c>
      <c r="E16" s="31">
        <v>42195</v>
      </c>
      <c r="F16" s="74">
        <v>3950</v>
      </c>
      <c r="G16" s="74"/>
      <c r="H16" s="74"/>
      <c r="I16" s="74">
        <v>282</v>
      </c>
      <c r="J16" s="74"/>
      <c r="K16" s="74"/>
      <c r="L16" s="74"/>
      <c r="M16" s="74"/>
      <c r="N16" s="191" t="s">
        <v>114</v>
      </c>
      <c r="O16" s="74"/>
    </row>
    <row r="17" spans="2:17" x14ac:dyDescent="0.35">
      <c r="B17">
        <f t="shared" si="0"/>
        <v>29</v>
      </c>
      <c r="C17">
        <f t="shared" si="1"/>
        <v>2015</v>
      </c>
      <c r="D17">
        <f t="shared" si="2"/>
        <v>3600</v>
      </c>
      <c r="E17" s="31">
        <v>42202</v>
      </c>
      <c r="F17" s="74">
        <v>3600</v>
      </c>
      <c r="G17" s="74"/>
      <c r="H17" s="74"/>
      <c r="I17" s="74"/>
      <c r="J17" s="74"/>
      <c r="K17" s="74"/>
      <c r="L17" s="74"/>
      <c r="M17" s="74"/>
      <c r="N17" s="191"/>
      <c r="O17" s="74"/>
    </row>
    <row r="18" spans="2:17" x14ac:dyDescent="0.35">
      <c r="B18">
        <f t="shared" si="0"/>
        <v>30</v>
      </c>
      <c r="C18">
        <f t="shared" si="1"/>
        <v>2015</v>
      </c>
      <c r="D18">
        <f t="shared" si="2"/>
        <v>12200</v>
      </c>
      <c r="E18" s="31">
        <v>42209</v>
      </c>
      <c r="F18" s="74">
        <v>12200</v>
      </c>
      <c r="G18" s="74">
        <v>5600</v>
      </c>
      <c r="H18" s="74">
        <v>6900</v>
      </c>
      <c r="I18" s="74"/>
      <c r="J18" s="74"/>
      <c r="K18" s="74"/>
      <c r="L18" s="74"/>
      <c r="M18" s="74"/>
      <c r="N18" s="191"/>
      <c r="O18" s="74"/>
    </row>
    <row r="19" spans="2:17" x14ac:dyDescent="0.35">
      <c r="B19">
        <f t="shared" si="0"/>
        <v>31</v>
      </c>
      <c r="C19">
        <f t="shared" si="1"/>
        <v>2015</v>
      </c>
      <c r="D19">
        <f t="shared" si="2"/>
        <v>1200</v>
      </c>
      <c r="E19" s="31">
        <v>42216</v>
      </c>
      <c r="F19" s="74">
        <v>1200</v>
      </c>
      <c r="G19" s="74">
        <v>600</v>
      </c>
      <c r="H19" s="74">
        <v>600</v>
      </c>
      <c r="I19" s="74"/>
      <c r="J19" s="74"/>
      <c r="K19" s="74"/>
      <c r="L19" s="74"/>
      <c r="M19" s="74"/>
      <c r="N19" s="191"/>
      <c r="O19" s="74"/>
    </row>
    <row r="20" spans="2:17" x14ac:dyDescent="0.35">
      <c r="B20">
        <f t="shared" si="0"/>
        <v>32</v>
      </c>
      <c r="C20">
        <f t="shared" si="1"/>
        <v>2015</v>
      </c>
      <c r="D20">
        <f t="shared" si="2"/>
        <v>8548.75</v>
      </c>
      <c r="E20" s="31">
        <v>42223</v>
      </c>
      <c r="F20" s="74">
        <f>SUM(G20:K20)</f>
        <v>8548.75</v>
      </c>
      <c r="G20" s="74">
        <v>300</v>
      </c>
      <c r="H20" s="74">
        <v>4600</v>
      </c>
      <c r="I20" s="74">
        <v>1690</v>
      </c>
      <c r="J20" s="74">
        <f>-(260+65*1.25)</f>
        <v>-341.25</v>
      </c>
      <c r="K20" s="74">
        <v>2300</v>
      </c>
      <c r="L20" s="74"/>
      <c r="M20" s="74"/>
      <c r="N20" s="191" t="s">
        <v>115</v>
      </c>
      <c r="O20" s="74"/>
    </row>
    <row r="21" spans="2:17" x14ac:dyDescent="0.35">
      <c r="B21">
        <f t="shared" si="0"/>
        <v>33</v>
      </c>
      <c r="C21">
        <f t="shared" si="1"/>
        <v>2015</v>
      </c>
      <c r="D21">
        <f t="shared" si="2"/>
        <v>-130</v>
      </c>
      <c r="E21" s="31">
        <v>42230</v>
      </c>
      <c r="F21" s="74">
        <f t="shared" ref="F21:F92" si="3">SUM(G21:L21)</f>
        <v>-130</v>
      </c>
      <c r="G21" s="74">
        <v>250</v>
      </c>
      <c r="H21" s="74">
        <v>430</v>
      </c>
      <c r="I21" s="74"/>
      <c r="J21" s="74">
        <f>-(110+25)</f>
        <v>-135</v>
      </c>
      <c r="K21" s="74">
        <v>125</v>
      </c>
      <c r="L21" s="74">
        <v>-800</v>
      </c>
      <c r="M21" s="74"/>
      <c r="N21" s="191"/>
      <c r="O21" s="74"/>
    </row>
    <row r="22" spans="2:17" x14ac:dyDescent="0.35">
      <c r="B22">
        <f t="shared" si="0"/>
        <v>34</v>
      </c>
      <c r="C22">
        <f t="shared" si="1"/>
        <v>2015</v>
      </c>
      <c r="D22">
        <f>SUM(G22:K22)</f>
        <v>2321.75</v>
      </c>
      <c r="E22" s="31">
        <v>42237</v>
      </c>
      <c r="F22" s="74">
        <f t="shared" si="3"/>
        <v>-25878.25</v>
      </c>
      <c r="G22" s="74">
        <f>1235+1118+118</f>
        <v>2471</v>
      </c>
      <c r="H22" s="74"/>
      <c r="I22" s="74"/>
      <c r="J22" s="74">
        <f>-( (1.25*65)+(0.09*5200) )</f>
        <v>-549.25</v>
      </c>
      <c r="K22" s="74">
        <v>400</v>
      </c>
      <c r="L22" s="74">
        <f>-3000 - 25200</f>
        <v>-28200</v>
      </c>
      <c r="M22" s="74"/>
      <c r="N22" s="191"/>
      <c r="O22" s="74"/>
    </row>
    <row r="23" spans="2:17" x14ac:dyDescent="0.35">
      <c r="B23">
        <f t="shared" si="0"/>
        <v>35</v>
      </c>
      <c r="C23">
        <f t="shared" si="1"/>
        <v>2015</v>
      </c>
      <c r="D23">
        <f>SUM(G23:K23)</f>
        <v>1235</v>
      </c>
      <c r="E23" s="31">
        <v>42244</v>
      </c>
      <c r="F23" s="74">
        <f t="shared" si="3"/>
        <v>-76965</v>
      </c>
      <c r="G23" s="74">
        <v>235</v>
      </c>
      <c r="H23" s="74"/>
      <c r="I23" s="74"/>
      <c r="J23" s="74"/>
      <c r="K23" s="74">
        <v>1000</v>
      </c>
      <c r="L23" s="74">
        <f>-52200-26000</f>
        <v>-78200</v>
      </c>
      <c r="M23" s="74"/>
      <c r="N23" s="191"/>
      <c r="O23" s="74"/>
    </row>
    <row r="24" spans="2:17" x14ac:dyDescent="0.35">
      <c r="B24">
        <f t="shared" si="0"/>
        <v>36</v>
      </c>
      <c r="C24">
        <f t="shared" si="1"/>
        <v>2015</v>
      </c>
      <c r="D24">
        <f t="shared" ref="D24:D108" si="4">F24</f>
        <v>4319.25</v>
      </c>
      <c r="E24" s="31">
        <v>42251</v>
      </c>
      <c r="F24" s="74">
        <f t="shared" si="3"/>
        <v>4319.25</v>
      </c>
      <c r="G24" s="74">
        <f>(850+750-10*1.25)+(0.62*1000-10*1.25)+(1.25*500-5*1.25)+(0.72*500-1.25*5)+(0.06*2500-1.25*25)-17</f>
        <v>3269.25</v>
      </c>
      <c r="H24" s="74"/>
      <c r="I24" s="74"/>
      <c r="J24" s="74"/>
      <c r="K24" s="74">
        <f>300+250+300+200</f>
        <v>1050</v>
      </c>
      <c r="L24" s="74"/>
      <c r="M24" s="74"/>
      <c r="N24" s="191"/>
      <c r="O24" s="74"/>
    </row>
    <row r="25" spans="2:17" x14ac:dyDescent="0.35">
      <c r="B25">
        <f t="shared" si="0"/>
        <v>37</v>
      </c>
      <c r="C25">
        <f t="shared" si="1"/>
        <v>2015</v>
      </c>
      <c r="D25">
        <f t="shared" si="4"/>
        <v>4189.4875000000002</v>
      </c>
      <c r="E25" s="31">
        <v>42258</v>
      </c>
      <c r="F25" s="74">
        <f t="shared" si="3"/>
        <v>4189.4875000000002</v>
      </c>
      <c r="G25" s="74"/>
      <c r="H25" s="74">
        <f>(2.61*500-1.25*2.61)+(0.92*500-1.25*5)+(0.54*400-1.25*4)+(0.35*1000-1.25*10)+(4.2*100-1.25)+(0.84*500-1.25*5) - 17 -(0.01*500+5*1.25) +(5*100-1.25*1) + (0.52*1000 - 10*1.25) - 5</f>
        <v>4109.4875000000002</v>
      </c>
      <c r="I25" s="74"/>
      <c r="J25" s="74"/>
      <c r="K25" s="74">
        <v>80</v>
      </c>
      <c r="L25" s="74"/>
      <c r="M25" s="74"/>
      <c r="N25" s="191"/>
      <c r="O25" s="74"/>
    </row>
    <row r="26" spans="2:17" x14ac:dyDescent="0.35">
      <c r="B26">
        <f t="shared" si="0"/>
        <v>38</v>
      </c>
      <c r="C26">
        <f t="shared" si="1"/>
        <v>2015</v>
      </c>
      <c r="D26">
        <f t="shared" si="4"/>
        <v>1554.5</v>
      </c>
      <c r="E26" s="31">
        <v>42265</v>
      </c>
      <c r="F26" s="74">
        <f t="shared" si="3"/>
        <v>1554.5</v>
      </c>
      <c r="G26" s="74">
        <f>(5.1*100-1.25)+(1.6*200 - 2*1.25) + (2.54*100+1.82*100 - 2*1.25) + (0.62*500 - 5*1.25) - 9</f>
        <v>1554.5</v>
      </c>
      <c r="H26" s="74"/>
      <c r="I26" s="74"/>
      <c r="J26" s="74"/>
      <c r="K26" s="74"/>
      <c r="L26" s="74"/>
      <c r="M26" s="74"/>
      <c r="N26" s="191"/>
      <c r="O26" s="74"/>
    </row>
    <row r="27" spans="2:17" x14ac:dyDescent="0.35">
      <c r="B27">
        <f t="shared" si="0"/>
        <v>39</v>
      </c>
      <c r="C27">
        <f t="shared" si="1"/>
        <v>2015</v>
      </c>
      <c r="D27">
        <f t="shared" si="4"/>
        <v>4111</v>
      </c>
      <c r="E27" s="31">
        <v>42272</v>
      </c>
      <c r="F27" s="74">
        <f t="shared" si="3"/>
        <v>4111</v>
      </c>
      <c r="G27" s="74">
        <f>(200*2.05-2*1.25)+(1000*0.17 - 10*1.25)+(1.42*500-5*1.25)+(1.55*100 -1.25) + (115-111.8)*200-17</f>
        <v>2045.5000000000005</v>
      </c>
      <c r="H27" s="74">
        <f>(0.07*1000 - 10*1.25) + (1.82*500 - 5*1.25) +(0.25*500 - 1.25*5)+(0.42*500-5*1.25)+(3.25*100-1.25)</f>
        <v>1607.5</v>
      </c>
      <c r="I27" s="74"/>
      <c r="J27" s="74"/>
      <c r="K27" s="74">
        <f>300+158</f>
        <v>458</v>
      </c>
      <c r="L27" s="74"/>
      <c r="M27" s="74"/>
      <c r="N27" s="191"/>
      <c r="O27" s="74"/>
    </row>
    <row r="28" spans="2:17" x14ac:dyDescent="0.35">
      <c r="B28">
        <f t="shared" si="0"/>
        <v>40</v>
      </c>
      <c r="C28">
        <f t="shared" si="1"/>
        <v>2015</v>
      </c>
      <c r="D28">
        <f t="shared" si="4"/>
        <v>6419.5500000000011</v>
      </c>
      <c r="E28" s="31">
        <v>42279</v>
      </c>
      <c r="F28" s="74">
        <f t="shared" si="3"/>
        <v>6419.5500000000011</v>
      </c>
      <c r="G28" s="74">
        <f>(2.05*100-1.25)+(0.42*500-5*1.25)+(0.27*1000-10*1.25)+(1*100 - 1.25) - 17 -17</f>
        <v>729.75</v>
      </c>
      <c r="H28" s="74">
        <f>(11.5*100-1.25) - (9*100+1.25) + (12*100-1.25) + (5.65*100 - 1.25) + (1.62*500 -1.25*5) - (1.47*700+1.25*7) + (1.92*1000-1.25*10)-(0.52*10+10*1.25) + (2.02*200 - 2*1.25) - (7.5*100+1.25+7) + (16.05*100-1.25) + (0.25*1000-10*1.25)</f>
        <v>5150.3</v>
      </c>
      <c r="I28" s="74">
        <f>0.13*150</f>
        <v>19.5</v>
      </c>
      <c r="J28" s="74"/>
      <c r="K28" s="74">
        <f>(23.6-22.9)*300+(24.2-23.7)*200+(24.4-23.7)*300</f>
        <v>520.00000000000068</v>
      </c>
      <c r="L28" s="74"/>
      <c r="M28" s="74"/>
      <c r="N28" s="191" t="s">
        <v>183</v>
      </c>
      <c r="O28" s="74">
        <f>(8.4*200-1.75*2-25)+(2.24*500-1.75*5-25)+(1.5*1000-1.75*10-25)+(0.66*400 -1.75*4 -25) + (4.05*500 -1.75*5 -25)</f>
        <v>6418.5</v>
      </c>
    </row>
    <row r="29" spans="2:17" x14ac:dyDescent="0.35">
      <c r="B29">
        <f t="shared" si="0"/>
        <v>41</v>
      </c>
      <c r="C29">
        <f t="shared" si="1"/>
        <v>2015</v>
      </c>
      <c r="D29">
        <f t="shared" si="4"/>
        <v>6010</v>
      </c>
      <c r="E29" s="31">
        <v>42286</v>
      </c>
      <c r="F29" s="74">
        <f t="shared" si="3"/>
        <v>6010</v>
      </c>
      <c r="G29" s="74">
        <f>(1.55*100-1.25)+(0.08*1200 - 12*1.25) + (0.62*200 - 1.25) +(0.22*100 - 1.25) - (0.18*100 +1.25)</f>
        <v>359</v>
      </c>
      <c r="H29" s="74">
        <f>(11.05*100 - 1.25) + (11.26*100 -1.25) - (0.54*100+1.25) - (0.08*500 + 1.25) + (13.1*100 -1.25) - (0.13*100+1.25) + (7.9*100 - 1.25) + (2.62*100 -1.25)</f>
        <v>4476</v>
      </c>
      <c r="I29" s="74">
        <f>0.47*2500</f>
        <v>1175</v>
      </c>
      <c r="J29" s="74"/>
      <c r="K29" s="74"/>
      <c r="L29" s="74"/>
      <c r="M29" s="74">
        <f>(1.55*500 - 5*1.25)</f>
        <v>768.75</v>
      </c>
      <c r="N29" s="191" t="s">
        <v>114</v>
      </c>
      <c r="O29" s="74">
        <v>0</v>
      </c>
    </row>
    <row r="30" spans="2:17" x14ac:dyDescent="0.35">
      <c r="B30">
        <f t="shared" si="0"/>
        <v>42</v>
      </c>
      <c r="C30">
        <f t="shared" si="1"/>
        <v>2015</v>
      </c>
      <c r="D30">
        <f t="shared" si="4"/>
        <v>10113.5</v>
      </c>
      <c r="E30" s="31">
        <v>42293</v>
      </c>
      <c r="F30" s="74">
        <f t="shared" si="3"/>
        <v>10113.5</v>
      </c>
      <c r="G30" s="74">
        <f>-(0.14*1200 + 12*1.25) + (0.55*200 - 2*1.25) - (39.1*100 + 1.25) + (39.2*100 -1.25) + (3.6*100 - 1.25) - (3.3*100 +1.25)</f>
        <v>-40.499999999999545</v>
      </c>
      <c r="H30" s="74">
        <f>(0.35*1000-10*1.25)+(3.25*500 - 1.25*5)+(3.2*1100 - 11*1.25) - (7.55*300 +3*1.25) - (4.2*100 + 1.25) + (17.5*300 -3*1.25) + (0.45*1200 -12*1.25)+(15.3*100 - 1.25) + (0.42*200 -2*1.25)</f>
        <v>10154</v>
      </c>
      <c r="I30" s="74"/>
      <c r="J30" s="74"/>
      <c r="K30" s="74"/>
      <c r="L30" s="74"/>
      <c r="M30" s="74"/>
      <c r="N30" s="191"/>
      <c r="O30" s="74">
        <f>(2.1*100-1.75*1-25) - (3.95*300 + 1.75*3 + 25) + (4.8*300 - 1.75*3 - 25) - (4.4*100 +1.75 +25)</f>
        <v>-89.000000000000057</v>
      </c>
      <c r="Q30" s="30">
        <f>(1.55*500 - 5*1.25) - (1.05*500 +5*1.25)</f>
        <v>237.5</v>
      </c>
    </row>
    <row r="31" spans="2:17" x14ac:dyDescent="0.35">
      <c r="B31">
        <f t="shared" si="0"/>
        <v>43</v>
      </c>
      <c r="C31">
        <f t="shared" si="1"/>
        <v>2015</v>
      </c>
      <c r="D31">
        <f t="shared" si="4"/>
        <v>883.5</v>
      </c>
      <c r="E31" s="31">
        <v>42300</v>
      </c>
      <c r="F31" s="74">
        <f t="shared" si="3"/>
        <v>883.5</v>
      </c>
      <c r="G31" s="74">
        <f>-(0.29*700 +7*1.25)+(0.32*700 -7*1.25)</f>
        <v>3.5</v>
      </c>
      <c r="H31" s="74">
        <f>(0.45*700 - 7*1.25) + (0.55*200 - 2*1.25)+(80.1*100-1.25) - (78.3*100 +1.25) + (0.49*1000 -10*1.25-7) - (0.44*1000 +10*1.25+7) +(6.35*100 - 1.25 - 7) - (5.4*100 + 1.25 + 7) + (0.15*1500 -15*1.25 - 7)</f>
        <v>880</v>
      </c>
      <c r="I31" s="74"/>
      <c r="J31" s="74"/>
      <c r="K31" s="74"/>
      <c r="L31" s="74"/>
      <c r="M31" s="74"/>
      <c r="N31" s="191"/>
      <c r="O31" s="74">
        <f>(1.77*1000 -10*1.75 -25)+(5.85*400 -1.75*4-25) + (1.47*200 -2*1.75 -25)</f>
        <v>4301</v>
      </c>
      <c r="Q31" s="30">
        <f xml:space="preserve"> (3.6*100 - 1.25) - (1.55*100 +1.25)</f>
        <v>202.5</v>
      </c>
    </row>
    <row r="32" spans="2:17" x14ac:dyDescent="0.35">
      <c r="B32">
        <f t="shared" si="0"/>
        <v>44</v>
      </c>
      <c r="C32">
        <f t="shared" si="1"/>
        <v>2015</v>
      </c>
      <c r="D32">
        <f t="shared" si="4"/>
        <v>3121.5</v>
      </c>
      <c r="E32" s="31">
        <v>42307</v>
      </c>
      <c r="F32" s="74">
        <f t="shared" si="3"/>
        <v>3121.5</v>
      </c>
      <c r="G32" s="74">
        <f>(0.3*1200 -12*1.25)+(0.6*200 -2*1.25 -7) +(3.05*100 -1*1.25 -7) + (0.54*1600 -16*1.25 -7) -(0.17*1600 +16*1.25 +7) + (2.2*100 -1.25 - 7) - (1.17*100 +1.25 + 7)</f>
        <v>1376.75</v>
      </c>
      <c r="H32" s="74">
        <f>(0.22*2000-20*1.25-7)+(1.82*1600-16*1.25-7)-(1.78*1600+16*1.25+7)+(0.25*1000-10*1.25-7)-(0.05*1000+1.25*10+7)-(0.35*1600+16*1.25+7)+(0.43*1600-16*1.25-7)+(3.25*100-1.25-7)-(1.35*700+7*1.25+7) + (2.25*700-7*1.25-7) + (0.93*200 -2*1.25 -7)</f>
        <v>1744.75</v>
      </c>
      <c r="I32" s="74"/>
      <c r="J32" s="74"/>
      <c r="K32" s="74"/>
      <c r="L32" s="74"/>
      <c r="M32" s="74"/>
      <c r="N32" s="191"/>
      <c r="O32" s="74">
        <f xml:space="preserve"> (5*100 -1.75 -25)+(0.28*1000 -10*1.75 -25) + (0.49*1000 -1.75*10 -25)</f>
        <v>1158.25</v>
      </c>
      <c r="Q32" s="30">
        <f>(6.05*500 -5*1.25) - (5.5*500 +5*1.25)</f>
        <v>262.5</v>
      </c>
    </row>
    <row r="33" spans="1:17" x14ac:dyDescent="0.35">
      <c r="B33">
        <f t="shared" si="0"/>
        <v>45</v>
      </c>
      <c r="C33">
        <f t="shared" si="1"/>
        <v>2015</v>
      </c>
      <c r="D33">
        <f t="shared" si="4"/>
        <v>2186.75</v>
      </c>
      <c r="E33" s="31">
        <v>42314</v>
      </c>
      <c r="F33" s="74">
        <f t="shared" si="3"/>
        <v>2186.75</v>
      </c>
      <c r="G33" s="74">
        <f>(0.97*200 -2*1.25 - 7)</f>
        <v>184.5</v>
      </c>
      <c r="H33" s="74">
        <f>(0.5*1200 -12*1.25-7) + (1.45*100 -1*1.25-7)+ (1.35*100 -1*1.25-7)+ (7.35*100 -1.25 -7) - (0.04*2000 +20*1.25+7)</f>
        <v>1456.25</v>
      </c>
      <c r="I33" s="74">
        <f>1050*0.52+200*0</f>
        <v>546</v>
      </c>
      <c r="J33" s="74"/>
      <c r="K33" s="74"/>
      <c r="L33" s="74"/>
      <c r="M33" s="74"/>
      <c r="N33" s="191" t="s">
        <v>185</v>
      </c>
      <c r="O33" s="74">
        <f>(1.02*500 -5*1.75 -25) - (0.31*500 +5*1.75 +25)+(1.63*800 -8*1.75 -25)+(13.55*200 -2*1.75 -25)</f>
        <v>4234</v>
      </c>
      <c r="Q33" s="30">
        <f xml:space="preserve"> (1.05*100 -1.25) - (0.45*100 +1.25)</f>
        <v>57.5</v>
      </c>
    </row>
    <row r="34" spans="1:17" x14ac:dyDescent="0.35">
      <c r="B34">
        <f t="shared" si="0"/>
        <v>46</v>
      </c>
      <c r="C34">
        <f t="shared" si="1"/>
        <v>2015</v>
      </c>
      <c r="D34">
        <f t="shared" si="4"/>
        <v>7250.5</v>
      </c>
      <c r="E34" s="31">
        <v>42321</v>
      </c>
      <c r="F34" s="74">
        <f t="shared" si="3"/>
        <v>7250.5</v>
      </c>
      <c r="G34" s="74"/>
      <c r="H34" s="74">
        <f>(0.44*60*100 -60*1.25-7)+(0.44*15*100 -15*1.25-7)+(4.7*100-1.25-7)+(4.55*100-1.25-7)-(2.2*100+1.25+7)+(0.9*1000-10*1.25-7)+(2.22*700-7*1.25-7)-(1.82*700+7*1.25+7)+(1.05*100 -1.25) - (0.8*100 +1.25)+(0.23*200 -2*1.25-7)+(0.36*200 -2*1.25-7)+(0.13*2000 - 20*1.25-7)+(3.14*1000-10*1.25-7)-(2.88*1000 +10*1.25+7)+(0.63*700 -7*1.25-7)-(0.61*700 +7*1.25+7)+(1.54*1200 -12*1.25-7)-(1.51*1200+12*1.25+7)+(2.58*200-2*1.25-7)-(2.25*200+2*1.25+7)+(5.25*1000-10*1.25-7)-(4.5*1000+10*1.25+7)+(1.06*6000 - 60*1.25-7) -(0.93*6000 +60*1.25+7)+(0.65*700 -7*1.25-7)-(0.31*700 +7*1.25+7)+(4.4*100-1.25-7)-(4*100+1.25+7)</f>
        <v>7150.5</v>
      </c>
      <c r="I34" s="74">
        <f>500*0.2</f>
        <v>100</v>
      </c>
      <c r="J34" s="74"/>
      <c r="K34" s="74"/>
      <c r="L34" s="74"/>
      <c r="M34" s="74"/>
      <c r="N34" s="191" t="s">
        <v>186</v>
      </c>
      <c r="O34" s="74">
        <f>(0.32*1000-1.75*10-25)+(11.95*100-1.75-25)+(1.53*300-3*1.75-25)+(10.3*200 -2*1.75-25) -(7*200 +2*1.75+25)</f>
        <v>2477.5</v>
      </c>
    </row>
    <row r="35" spans="1:17" x14ac:dyDescent="0.35">
      <c r="B35">
        <f t="shared" si="0"/>
        <v>47</v>
      </c>
      <c r="C35">
        <f t="shared" si="1"/>
        <v>2015</v>
      </c>
      <c r="D35">
        <f t="shared" si="4"/>
        <v>1926.5</v>
      </c>
      <c r="E35" s="31">
        <v>42328</v>
      </c>
      <c r="F35" s="74">
        <f t="shared" si="3"/>
        <v>1926.5</v>
      </c>
      <c r="G35" s="74"/>
      <c r="H35" s="74">
        <f>(2.1*200-2*1.25-7)+(0.22*1000-10*1.25-7)+(0.41*8800-88*1.25-7)-(2.97*1000+10*1.25+7)-(0.54*200+2*1.25+7)+(1.47*200-2*1.25-7)+(0.55*1200-12*1.25-7)-(0.4*1200+12*1.25+7)+(0.28*3000-30*1.25-7)-(0.08*3000+30*1.25+7)</f>
        <v>1926.5</v>
      </c>
      <c r="I35" s="74"/>
      <c r="J35" s="74"/>
      <c r="K35" s="74"/>
      <c r="L35" s="74"/>
      <c r="M35" s="74"/>
      <c r="N35" s="191"/>
      <c r="O35" s="74">
        <v>0</v>
      </c>
    </row>
    <row r="36" spans="1:17" x14ac:dyDescent="0.35">
      <c r="B36">
        <f t="shared" si="0"/>
        <v>48</v>
      </c>
      <c r="C36">
        <f t="shared" si="1"/>
        <v>2015</v>
      </c>
      <c r="D36">
        <f t="shared" si="4"/>
        <v>4675.75</v>
      </c>
      <c r="E36" s="31">
        <v>42335</v>
      </c>
      <c r="F36" s="74">
        <f t="shared" si="3"/>
        <v>4675.75</v>
      </c>
      <c r="G36" s="74"/>
      <c r="H36" s="74">
        <f>(0.33*2000-20*1.25-7)+(0.65*200-2*1.25-7)+(0.45*500-5*1.25-7)+(0.21*4000-40*1.25-7)+(0.27*200-2*1.25-7)+(0.54*1200-12*1.25-7)-(0.35*1200+12*1.25+7)+(5.6*100-1.25-7)+(0.83*500-5*1.25-7)+(0.36*200-2*1.25-7)-(0.25*200+2*1.25+7)+(1.42*700-7*1.25-7)-(0.08*700+7*1.25+7)+(0.34*3000-30*1.25-7)-(0.03*3000+30*1.25+7)</f>
        <v>4675.75</v>
      </c>
      <c r="I36" s="74"/>
      <c r="J36" s="74"/>
      <c r="K36" s="74"/>
      <c r="L36" s="74"/>
      <c r="M36" s="74"/>
      <c r="N36" s="191"/>
      <c r="O36" s="74">
        <v>0</v>
      </c>
    </row>
    <row r="37" spans="1:17" x14ac:dyDescent="0.35">
      <c r="B37">
        <f t="shared" si="0"/>
        <v>49</v>
      </c>
      <c r="C37">
        <f t="shared" si="1"/>
        <v>2015</v>
      </c>
      <c r="D37">
        <f t="shared" si="4"/>
        <v>2444.5</v>
      </c>
      <c r="E37" s="31">
        <v>42342</v>
      </c>
      <c r="F37" s="74">
        <f t="shared" si="3"/>
        <v>2444.5</v>
      </c>
      <c r="G37" s="74"/>
      <c r="H37" s="74">
        <f>(1.81*200-1.25*2-7)+(4.2*200-1.25*2-7)+(0.76*2500-25*1.25-7)+(0.74*500-5*1.25-7)-(0.69*3000+30*1.25+7)+(0.17*1000-10*1.25-7)+(0.3*5000-50*1.25-7)-(0.07*5000+50*1.25+7)+(0.64-0.61)*2000-(20*1.25+7)*2</f>
        <v>2444.5</v>
      </c>
      <c r="I37" s="74"/>
      <c r="J37" s="74"/>
      <c r="K37" s="74"/>
      <c r="L37" s="74"/>
      <c r="M37" s="74"/>
      <c r="N37" s="191"/>
      <c r="O37" s="74">
        <f>(3.3*100-1.75-25)-(1.08*100+1.75+25)</f>
        <v>168.5</v>
      </c>
    </row>
    <row r="38" spans="1:17" x14ac:dyDescent="0.35">
      <c r="B38">
        <f t="shared" si="0"/>
        <v>50</v>
      </c>
      <c r="C38">
        <f t="shared" si="1"/>
        <v>2015</v>
      </c>
      <c r="D38">
        <f t="shared" si="4"/>
        <v>3012.5</v>
      </c>
      <c r="E38" s="31">
        <v>42349</v>
      </c>
      <c r="F38" s="74">
        <f t="shared" si="3"/>
        <v>3012.5</v>
      </c>
      <c r="G38" s="74"/>
      <c r="H38" s="74">
        <f>(0.4*1000-10*1.25-7)+(0.56*1200-12*1.25-7)+(5.95*100-1.25-7)+(0.9*500-5*1.25-7)+(3.6*200-2*1.25-7)-(3.4*200+2*1.25+7)+(0.31*1000-10*1.25-7)-(0.3*1000+10*1.25+7)+(1.58*5000-50*1.25-7)-(1.4*5000+50*1.25+7)+(4*200-2*1.25-7)-(3.55*200+2*1.25+7)+(0.31*900-9*1.25-7)-(0.12*900+9*1.25+7)</f>
        <v>3012.5</v>
      </c>
      <c r="I38" s="74"/>
      <c r="J38" s="74"/>
      <c r="K38" s="74"/>
      <c r="L38" s="74"/>
      <c r="M38" s="74"/>
      <c r="N38" s="191"/>
      <c r="O38" s="74">
        <f>(7.2*100-1.75-25)-(5.6*100+1.75+25)+(2.22*1100-11*1.75-25)-(1.7*1100+11*1.75+25)</f>
        <v>590</v>
      </c>
    </row>
    <row r="39" spans="1:17" x14ac:dyDescent="0.35">
      <c r="B39">
        <f t="shared" si="0"/>
        <v>51</v>
      </c>
      <c r="C39">
        <f t="shared" si="1"/>
        <v>2015</v>
      </c>
      <c r="D39">
        <f t="shared" si="4"/>
        <v>819.25</v>
      </c>
      <c r="E39" s="31">
        <v>42356</v>
      </c>
      <c r="F39" s="74">
        <f t="shared" si="3"/>
        <v>819.25</v>
      </c>
      <c r="G39" s="74"/>
      <c r="H39" s="74">
        <f>(0.23*2000-20*1.25-7)-17+(1.09*300-3*1.25-7)-(1.06*300+3*1.25+7)+(0.33*300-3*1.25-7)-(0.12*200+2*1.25+7)+(0.28*200-2*1.25-7)+(0.41*2000-20*1.25-7)-(0.37*2000+20*1.25+7)+(2.14*1200-12*1.25-7)-(1.87*1200+12*1.25+7)+(8.9*500-5*1.25-7)-(8.8*500+5*1.25+7)</f>
        <v>819.25</v>
      </c>
      <c r="I39" s="74"/>
      <c r="J39" s="74"/>
      <c r="K39" s="74"/>
      <c r="L39" s="74"/>
      <c r="M39" s="74"/>
      <c r="N39" s="191"/>
      <c r="O39" s="74">
        <f>(0.51*800-8*1.75-25)+(0.6*600-6*1.75-25)+(2.3*400-4*1.75-25)-(2.15*400+4*1.75+25)-(3.05*500+5*1.75+25)+(3.4*500-5*1.75-25)</f>
        <v>797</v>
      </c>
    </row>
    <row r="40" spans="1:17" x14ac:dyDescent="0.35">
      <c r="B40">
        <f t="shared" si="0"/>
        <v>52</v>
      </c>
      <c r="C40">
        <f t="shared" si="1"/>
        <v>2015</v>
      </c>
      <c r="D40">
        <f t="shared" si="4"/>
        <v>3579.2500000000018</v>
      </c>
      <c r="E40" s="31">
        <v>42363</v>
      </c>
      <c r="F40" s="74">
        <f t="shared" si="3"/>
        <v>3579.2500000000018</v>
      </c>
      <c r="G40" s="74"/>
      <c r="H40" s="74">
        <f>(2.15*200-2*1.25-7)+(2.15*8800-88*1.25-7)-(1.9*8800+88*1.25+7)-(2.55*6000+60*1.25+7)+(23.9*600-6*1.25-7)+(13.45*100-1.25-7)+(1.31*200-2*1.25-7)+((1.13-0.92)*1200-2*(12*1.25+7))+((7.7-7.6)*200-2*(2*1.25+7))+((1.44-1.26)*3000-2*(30*1.25+7))</f>
        <v>3579.2500000000018</v>
      </c>
      <c r="I40" s="74"/>
      <c r="J40" s="74"/>
      <c r="K40" s="74"/>
      <c r="L40" s="74"/>
      <c r="M40" s="74"/>
      <c r="N40" s="191"/>
      <c r="O40" s="74">
        <f>(1.36*1000-10*1.75-25)+(0.7*100-1.75-25)+(5.45*100-1.75-25)+((4.85-4.55)*1100-2*(11*1.75+25))+((2.6-1.58)*500-2*(5*1.75+25))</f>
        <v>2563</v>
      </c>
    </row>
    <row r="41" spans="1:17" x14ac:dyDescent="0.35">
      <c r="B41">
        <f t="shared" si="0"/>
        <v>1</v>
      </c>
      <c r="C41">
        <f t="shared" si="1"/>
        <v>2016</v>
      </c>
      <c r="D41">
        <f t="shared" si="4"/>
        <v>1033.75</v>
      </c>
      <c r="E41" s="31">
        <v>42370</v>
      </c>
      <c r="F41" s="74">
        <f t="shared" si="3"/>
        <v>1033.75</v>
      </c>
      <c r="G41" s="74"/>
      <c r="H41" s="74">
        <f>+(1.04*400-4*1.25-7)+(0.72*900-9*1.25-7)</f>
        <v>1033.75</v>
      </c>
      <c r="I41" s="74"/>
      <c r="J41" s="74"/>
      <c r="K41" s="74"/>
      <c r="L41" s="74"/>
      <c r="M41" s="74"/>
      <c r="N41" s="191"/>
      <c r="O41" s="74">
        <f>+(1.05*300-4*1.75-25)-(0.74*100+1.75+25)+(0.76*600-6*1.75-25)+(0.58*1000-10*1.75-25)-(0.25*1000+10*1.75+25)</f>
        <v>847.75</v>
      </c>
    </row>
    <row r="42" spans="1:17" x14ac:dyDescent="0.35">
      <c r="B42">
        <f t="shared" si="0"/>
        <v>2</v>
      </c>
      <c r="C42">
        <f t="shared" si="1"/>
        <v>2016</v>
      </c>
      <c r="D42">
        <f t="shared" si="4"/>
        <v>6727.4999999999991</v>
      </c>
      <c r="E42" s="31">
        <v>42377</v>
      </c>
      <c r="F42" s="74">
        <f t="shared" si="3"/>
        <v>6727.4999999999991</v>
      </c>
      <c r="G42" s="74"/>
      <c r="H42" s="74">
        <f>(16.5*200-2*1.25-7)-(12.1*200+2*1.25+7)+((112.1-104.1)*100-2*(1.25+7))+((6.05-6.2)*500-2*(5*1.25+7))+((0.47-0.35)*2000-2*(20*1.25+7))-(3.4*200+2*1.25+7)+((3.09-2.65)*600-2*(6*1.25+7))-(0.1*900+9*1.25+7)-(0.06*100+1.25+7)-17+((114.58-100)*200-7)+((1.83-1.48)*1200-2*(12*1.25+7))+((5.2-4.65)*600-2*(6*1.25+7))+((17.2-16.55)*300-2*(3*1.25+7))+((0.94-0.6)*2000-2*(20*1.25+7))</f>
        <v>5500.4999999999991</v>
      </c>
      <c r="I42" s="74">
        <f>0.48*2500+0.135*200</f>
        <v>1227</v>
      </c>
      <c r="J42" s="74"/>
      <c r="K42" s="74"/>
      <c r="L42" s="74"/>
      <c r="M42" s="74"/>
      <c r="N42" s="191" t="s">
        <v>339</v>
      </c>
      <c r="O42" s="74">
        <f>(1.85*100-1.75-25)+((1.89-1.74)*600-2*(6*1.75+25))+((2.63-2.43)*300-2*(3*1.75+25))+((3.2-2.68)*600-2*(6*1.75+25))-(1.13*400+4*1.75+25)+((1.81-1.31)*1000-2*(10*1.75+25))+(0.25*800-8*1.75-25)+((13-12.55)*500-2*(5*1.75+25))+((16.2-15.09)*800-2*(8*1.75+25))+(0.85*300-3*1.75-25)</f>
        <v>1701.9999999999991</v>
      </c>
    </row>
    <row r="43" spans="1:17" x14ac:dyDescent="0.35">
      <c r="B43">
        <f t="shared" si="0"/>
        <v>3</v>
      </c>
      <c r="C43">
        <f t="shared" si="1"/>
        <v>2016</v>
      </c>
      <c r="D43">
        <f t="shared" si="4"/>
        <v>998.00000000000045</v>
      </c>
      <c r="E43" s="31">
        <v>42384</v>
      </c>
      <c r="F43" s="74">
        <f t="shared" si="3"/>
        <v>998.00000000000045</v>
      </c>
      <c r="G43" s="74"/>
      <c r="H43" s="74">
        <f>+((4.58-4.1)*1200-2*(12*1.25+7))-(0.03*200+2*0)-(1000*0.05+10*0)+(0.36*200-2*0)+(0.9*500-5*0)</f>
        <v>998.00000000000045</v>
      </c>
      <c r="I43" s="74"/>
      <c r="J43" s="74"/>
      <c r="K43" s="74"/>
      <c r="L43" s="74"/>
      <c r="M43" s="74"/>
      <c r="N43" s="191"/>
      <c r="O43" s="74">
        <f>((3.55-3.15)*1000-2*(10*1.75+25))-(5.4*600+6*1.75+25)+(38.1*100-1.75-25)-(4.75*300+3*1.75+25)+(10.77*100-1.75-25)+(10.91*100-1.75-25)+((7-4.47)*100-1.75-25)+((0.6-0.18)*800-8*1.75-25)+((17.3-17.05)*800-2*(8*1.75+25))</f>
        <v>2127.25</v>
      </c>
    </row>
    <row r="44" spans="1:17" x14ac:dyDescent="0.35">
      <c r="B44">
        <f t="shared" si="0"/>
        <v>4</v>
      </c>
      <c r="C44">
        <f t="shared" si="1"/>
        <v>2016</v>
      </c>
      <c r="D44">
        <f t="shared" si="4"/>
        <v>1851</v>
      </c>
      <c r="E44" s="31">
        <v>42391</v>
      </c>
      <c r="F44" s="74">
        <f t="shared" si="3"/>
        <v>1851</v>
      </c>
      <c r="G44" s="74"/>
      <c r="H44" s="74">
        <f>(0.58*1000-10*0)+(0.69*1500-15*0)+(0.16*300-3*0)+(0.16*200-2*0)+(0.58*200-2*0)+(0.4*100-0)</f>
        <v>1851</v>
      </c>
      <c r="I44" s="74"/>
      <c r="J44" s="74"/>
      <c r="K44" s="74"/>
      <c r="L44" s="74"/>
      <c r="M44" s="74"/>
      <c r="N44" s="191"/>
      <c r="O44" s="5">
        <v>0</v>
      </c>
    </row>
    <row r="45" spans="1:17" x14ac:dyDescent="0.35">
      <c r="B45">
        <f t="shared" si="0"/>
        <v>5</v>
      </c>
      <c r="C45">
        <f t="shared" si="1"/>
        <v>2016</v>
      </c>
      <c r="D45">
        <f t="shared" si="4"/>
        <v>937.00000000000023</v>
      </c>
      <c r="E45" s="31">
        <v>42398</v>
      </c>
      <c r="F45" s="74">
        <f t="shared" si="3"/>
        <v>937.00000000000023</v>
      </c>
      <c r="G45" s="74"/>
      <c r="H45" s="74">
        <f>(1.06*300-3*0)-(1.33*300+3*0)+(1.6*300-3*0)-(0.3*300)+((1-0.68)*500)+((3.12-2.73)*1200)</f>
        <v>937.00000000000023</v>
      </c>
      <c r="I45" s="74"/>
      <c r="J45" s="74"/>
      <c r="K45" s="74"/>
      <c r="L45" s="74"/>
      <c r="M45" s="74"/>
      <c r="N45" s="191"/>
      <c r="O45" s="74">
        <f>-(0.21*800+8*1.75+25)+(7.3*100-1.75-25)+((4.35-3.75)*1000-2*(10*1.75+25))+((10.92-6.92)*100-2*(1*1.75+25))</f>
        <v>1357.7499999999995</v>
      </c>
    </row>
    <row r="46" spans="1:17" x14ac:dyDescent="0.35">
      <c r="A46">
        <v>26100</v>
      </c>
      <c r="B46">
        <f t="shared" si="0"/>
        <v>6</v>
      </c>
      <c r="C46">
        <f t="shared" si="1"/>
        <v>2016</v>
      </c>
      <c r="D46">
        <f t="shared" si="4"/>
        <v>3985</v>
      </c>
      <c r="E46" s="31">
        <v>42405</v>
      </c>
      <c r="F46" s="74">
        <f t="shared" si="3"/>
        <v>3985</v>
      </c>
      <c r="G46" s="74"/>
      <c r="H46" s="74">
        <f>(1.33*500)-(1.21*500)+(0.38*1000)-(0.15*1000)-(54.5*100)+(62.1*100)-(0.17*1000)+(0.44*1000)-(1.17*500)+(1.43*500)-(48.5*100)+(50*100)-(0.25*1000)+(0.6*1000)-(54*100)+(55.1*100)-(0.94*500)+(1.14*500)+(0.35*1500)-(0.83*500)+(0.95*500)-(45.8*100)+(47.1*100)-(0.28*500)+(0.52*500)-(0.27*500)+(0.49*500)</f>
        <v>3105</v>
      </c>
      <c r="I46" s="74">
        <f>0.52*1500+0.2*500</f>
        <v>880</v>
      </c>
      <c r="J46" s="74"/>
      <c r="K46" s="74"/>
      <c r="L46" s="74"/>
      <c r="M46" s="74"/>
      <c r="N46" s="191" t="s">
        <v>340</v>
      </c>
      <c r="O46" s="74">
        <f>300*0.52+(0.7*400-4*1.75-25)-(17.2*600+6*1.75+25)+(106.5*100-1.75-25)</f>
        <v>671.75</v>
      </c>
      <c r="P46" s="30" t="s">
        <v>115</v>
      </c>
    </row>
    <row r="47" spans="1:17" x14ac:dyDescent="0.35">
      <c r="B47">
        <f t="shared" si="0"/>
        <v>7</v>
      </c>
      <c r="C47">
        <f t="shared" si="1"/>
        <v>2016</v>
      </c>
      <c r="D47">
        <f t="shared" si="4"/>
        <v>884.00000000000045</v>
      </c>
      <c r="E47" s="31">
        <v>42412</v>
      </c>
      <c r="F47" s="74">
        <f t="shared" si="3"/>
        <v>884.00000000000045</v>
      </c>
      <c r="G47" s="74"/>
      <c r="H47" s="74">
        <f>(0.81*200)+(0.2*300)-(32.3*100)+(33.4*100)-(0.07*1000)+(0.29*1000)-(0.31*500)+(0.54*500)+(1.05*100)-(1.3*500)+(1.3*500)+((0.45-0.03)*100)-(0.73*500)+(0.81*500)+10-(0.54*200)+(0.64*200)-((1.28-1.28)*500)</f>
        <v>884.00000000000045</v>
      </c>
      <c r="I47" s="74"/>
      <c r="J47" s="74"/>
      <c r="K47" s="74"/>
      <c r="L47" s="74"/>
      <c r="M47" s="74"/>
      <c r="N47" s="191"/>
      <c r="O47" s="74">
        <f>(3.05*100-1.75-25)</f>
        <v>278.25</v>
      </c>
    </row>
    <row r="48" spans="1:17" x14ac:dyDescent="0.35">
      <c r="A48">
        <v>53000</v>
      </c>
      <c r="B48">
        <f t="shared" si="0"/>
        <v>8</v>
      </c>
      <c r="C48">
        <f t="shared" si="1"/>
        <v>2016</v>
      </c>
      <c r="D48">
        <f t="shared" si="4"/>
        <v>1213</v>
      </c>
      <c r="E48" s="31">
        <v>42419</v>
      </c>
      <c r="F48" s="74">
        <f t="shared" si="3"/>
        <v>1213</v>
      </c>
      <c r="G48" s="74"/>
      <c r="H48" s="74">
        <f>(3.25*700)-(3.25*700)-(4.1*100)+(0.32*1000)+(0.5*1500)+(0.35*1000)+(0.07*200)+(0.18*300)+((-4.3+4.2)*100)+(0.45*100)+((1.5-1.49)*500)-(0.9*200)+(1.05*200)+((0.39-0.38)*300)-(0.9*100)+(1.4*100)-(0.16*300)+(0.2*300)</f>
        <v>1213</v>
      </c>
      <c r="I48" s="74"/>
      <c r="J48" s="74"/>
      <c r="K48" s="74"/>
      <c r="L48" s="74"/>
      <c r="M48" s="74"/>
      <c r="N48" s="191"/>
      <c r="O48" s="74">
        <f>(0.5*300-3*1.75-25)+(12*300-3*1.75-25)-(11*300+3*1.75+25)+(0.32*1000-10*1.75-25)+(0.82*500-5*1.75-25)-(11.8*500+5*1.75+25)+(12.95*500-5*1.75-25)-(80*100+1.75+25)+(83*100-1.75-25)</f>
        <v>1767</v>
      </c>
    </row>
    <row r="49" spans="1:15" x14ac:dyDescent="0.35">
      <c r="A49">
        <f>31047.9</f>
        <v>31047.9</v>
      </c>
      <c r="B49">
        <f t="shared" si="0"/>
        <v>9</v>
      </c>
      <c r="C49">
        <f t="shared" si="1"/>
        <v>2016</v>
      </c>
      <c r="D49">
        <f t="shared" si="4"/>
        <v>1072</v>
      </c>
      <c r="E49" s="31">
        <v>42426</v>
      </c>
      <c r="F49" s="74">
        <f t="shared" si="3"/>
        <v>1072</v>
      </c>
      <c r="G49" s="74"/>
      <c r="H49" s="74">
        <f>-(0.92*1000)+(1.2*1000)-(2.4*500)+(2.81*500)-(0.4*300)+(0.45*300)+(0.42*100)-(0.27*300)-(0.66*1000)+(1.06*1000)+(0.31*300)-(1.69*1000)+(1.8*1000)+((0.33-0.29)*200)</f>
        <v>1072</v>
      </c>
      <c r="I49" s="74"/>
      <c r="J49" s="74"/>
      <c r="K49" s="74"/>
      <c r="L49" s="74"/>
      <c r="M49" s="74"/>
      <c r="N49" s="191"/>
      <c r="O49" s="74">
        <f>((1.2-0.95)*1000-2*(10*1.75+25))+((0.84-0.4)*500-2*(5*1.75+25))</f>
        <v>317.5</v>
      </c>
    </row>
    <row r="50" spans="1:15" x14ac:dyDescent="0.35">
      <c r="A50">
        <f>45328.37</f>
        <v>45328.37</v>
      </c>
      <c r="B50">
        <f t="shared" si="0"/>
        <v>10</v>
      </c>
      <c r="C50">
        <f t="shared" si="1"/>
        <v>2016</v>
      </c>
      <c r="D50">
        <f t="shared" si="4"/>
        <v>3971.0000000000009</v>
      </c>
      <c r="E50" s="31">
        <v>42433</v>
      </c>
      <c r="F50" s="74">
        <f t="shared" si="3"/>
        <v>3971.0000000000009</v>
      </c>
      <c r="G50" s="74"/>
      <c r="H50" s="74">
        <f>(0.65*1500)+((2.24-1.89)*1500)+((2.53-2.31)*1000)+((0.74-0.56)*300)+(0.13*1700)+((2.85-2.8)*3300)+((1.45-1.39)*200)-17+((3.45-2.62)*1500)+((3.4-2.55)*600)-(0.88*300)+(0.85*300)</f>
        <v>3901.0000000000009</v>
      </c>
      <c r="I50" s="74"/>
      <c r="J50" s="74"/>
      <c r="K50" s="74">
        <v>70</v>
      </c>
      <c r="L50" s="74"/>
      <c r="M50" s="74"/>
      <c r="N50" s="191"/>
      <c r="O50" s="74">
        <f>(300*1.01-3*1.75-25)+((1.76-1.36)*1000-2*(10*1.75+25))</f>
        <v>587.74999999999989</v>
      </c>
    </row>
    <row r="51" spans="1:15" x14ac:dyDescent="0.35">
      <c r="A51">
        <f>22570.17</f>
        <v>22570.17</v>
      </c>
      <c r="B51">
        <f t="shared" si="0"/>
        <v>11</v>
      </c>
      <c r="C51">
        <f t="shared" si="1"/>
        <v>2016</v>
      </c>
      <c r="D51">
        <f t="shared" si="4"/>
        <v>-7118</v>
      </c>
      <c r="E51" s="31">
        <v>42440</v>
      </c>
      <c r="F51" s="74">
        <f t="shared" si="3"/>
        <v>-7118</v>
      </c>
      <c r="G51" s="74"/>
      <c r="H51" s="74">
        <f>((0.33-0.25)*1700)+(0.2*100)+((1.15-1.08)*300)+(0.5*200)+(0.35*100)-(4*2000)+(0.15*2000)-(0.33*2000)+(0.45*2000)+((3.08-3.05)*1000)</f>
        <v>-7118</v>
      </c>
      <c r="I51" s="74"/>
      <c r="J51" s="74"/>
      <c r="K51" s="74"/>
      <c r="L51" s="74"/>
      <c r="M51" s="74"/>
      <c r="N51" s="191"/>
      <c r="O51" s="74">
        <f>((1.23-0.7)*1000-2*(10*1.75+25))+(0.5*200-25-1.75*2)+((3.05-2.47)*1000-2*(10*1.75+25))</f>
        <v>1011.4999999999997</v>
      </c>
    </row>
    <row r="52" spans="1:15" x14ac:dyDescent="0.35">
      <c r="A52">
        <f>19850.13</f>
        <v>19850.13</v>
      </c>
      <c r="B52">
        <f t="shared" si="0"/>
        <v>12</v>
      </c>
      <c r="C52">
        <f t="shared" si="1"/>
        <v>2016</v>
      </c>
      <c r="D52">
        <f t="shared" si="4"/>
        <v>3137.9999999999991</v>
      </c>
      <c r="E52" s="31">
        <v>42447</v>
      </c>
      <c r="F52" s="74">
        <f t="shared" si="3"/>
        <v>3137.9999999999991</v>
      </c>
      <c r="G52" s="74"/>
      <c r="H52" s="74">
        <f>(2.44-2.14)*600 -(4.9*1400+4.75*100)+(6.25*1500)+((0.74-0.45)*1000)+((0.7-0.44)*200)+((0.87-0.67)*2000)+((0.57-0.54)*1700)-(3.73*1000)-(0.75*100+0.8*900)+(0.85*1000)+(3.8*1000)</f>
        <v>3137.9999999999991</v>
      </c>
      <c r="I52" s="74"/>
      <c r="J52" s="74"/>
      <c r="K52" s="74"/>
      <c r="L52" s="74"/>
      <c r="M52" s="74"/>
      <c r="N52" s="191"/>
      <c r="O52" s="74">
        <f>((5.85-4.55)*300-2*(3*1.75+25))+((0.83-0.38)*1000-2*(1.75*10+25))-(7.7*500-5*1.75-25)+(42*100-1.75-25)</f>
        <v>1051.5</v>
      </c>
    </row>
    <row r="53" spans="1:15" x14ac:dyDescent="0.35">
      <c r="B53">
        <f t="shared" si="0"/>
        <v>13</v>
      </c>
      <c r="C53">
        <f t="shared" si="1"/>
        <v>2016</v>
      </c>
      <c r="D53">
        <f t="shared" si="4"/>
        <v>1200</v>
      </c>
      <c r="E53" s="31">
        <v>42454</v>
      </c>
      <c r="F53" s="74">
        <f t="shared" si="3"/>
        <v>1200</v>
      </c>
      <c r="G53" s="74"/>
      <c r="H53" s="74">
        <f>(0.4*400)+((1.59-1.55)*3000)+((0.39-0.19)*1200)+((70.5-64)*100)+(0.3*100)</f>
        <v>1200</v>
      </c>
      <c r="I53" s="74"/>
      <c r="J53" s="74"/>
      <c r="K53" s="74"/>
      <c r="L53" s="74"/>
      <c r="M53" s="74"/>
      <c r="N53" s="191"/>
      <c r="O53" s="74">
        <f>(0.4*500-5*1.75-25)+((0.37-0.06)*1000-2*(10*1.75+25))+((0.72-0.3)*1000-2*(10*1.75+25))</f>
        <v>726.25</v>
      </c>
    </row>
    <row r="54" spans="1:15" x14ac:dyDescent="0.35">
      <c r="B54">
        <f t="shared" si="0"/>
        <v>14</v>
      </c>
      <c r="C54">
        <f t="shared" si="1"/>
        <v>2016</v>
      </c>
      <c r="D54">
        <f t="shared" si="4"/>
        <v>967</v>
      </c>
      <c r="E54" s="31">
        <v>42461</v>
      </c>
      <c r="F54" s="74">
        <f t="shared" si="3"/>
        <v>967</v>
      </c>
      <c r="G54" s="74"/>
      <c r="H54" s="74">
        <f>-(0.16*200)+(1.25*100)+((0.72-0.62)*600)+((0.64-0.38)*600)+(0.09*500)-(0.96*600)+(7*100)+(0.65*100)+(0.85*100)-(0.02*200)+((1.14-0.34)*100)-(0.01*1200)+((1.9-0.05)*100)+((1.76-1.31)*200)</f>
        <v>967</v>
      </c>
      <c r="I54" s="74"/>
      <c r="J54" s="74"/>
      <c r="K54" s="74"/>
      <c r="L54" s="74"/>
      <c r="M54" s="74"/>
      <c r="N54" s="191"/>
      <c r="O54" s="74">
        <f>(27.2-24.45)*100-2*(1.75+25)+(0.85*300)</f>
        <v>476.5</v>
      </c>
    </row>
    <row r="55" spans="1:15" x14ac:dyDescent="0.35">
      <c r="B55">
        <f t="shared" si="0"/>
        <v>15</v>
      </c>
      <c r="C55">
        <f t="shared" si="1"/>
        <v>2016</v>
      </c>
      <c r="D55">
        <f t="shared" si="4"/>
        <v>977</v>
      </c>
      <c r="E55" s="31">
        <v>42468</v>
      </c>
      <c r="F55" s="74">
        <f t="shared" si="3"/>
        <v>977</v>
      </c>
      <c r="G55" s="74"/>
      <c r="H55" s="74">
        <f>(0.15*1200)+((0.78-0.17)*100)+((0.52-0.31)*1200)+((6.85-2)*100)-(0.01*100)</f>
        <v>977</v>
      </c>
      <c r="I55" s="74"/>
      <c r="J55" s="74"/>
      <c r="K55" s="74"/>
      <c r="L55" s="74"/>
      <c r="M55" s="74"/>
      <c r="O55" s="74">
        <f>(6.05*100-1.75-25)+(2.11*100-1.75-25)+(0.8*400-4*1.75-25)</f>
        <v>1050.5</v>
      </c>
    </row>
    <row r="56" spans="1:15" x14ac:dyDescent="0.35">
      <c r="B56">
        <f t="shared" si="0"/>
        <v>16</v>
      </c>
      <c r="C56">
        <f t="shared" si="1"/>
        <v>2016</v>
      </c>
      <c r="D56">
        <f t="shared" si="4"/>
        <v>285</v>
      </c>
      <c r="E56" s="31">
        <v>42475</v>
      </c>
      <c r="F56" s="74">
        <f t="shared" si="3"/>
        <v>285</v>
      </c>
      <c r="G56" s="74"/>
      <c r="H56" s="74">
        <f>(0.15*200)+(1.41*100)+((1.42-0.47)*100)+((0.85-0.38)*100)+((0.11-0.05)*1200)-(1.1*500)+(0.9*500)</f>
        <v>285</v>
      </c>
      <c r="I56" s="74"/>
      <c r="J56" s="74"/>
      <c r="K56" s="74"/>
      <c r="L56" s="74"/>
      <c r="M56" s="74"/>
      <c r="N56" s="191"/>
      <c r="O56" s="74">
        <f>((3.6-2)*100-2*(1.75+25))+(0.9*200-2*1.75-25)</f>
        <v>258</v>
      </c>
    </row>
    <row r="57" spans="1:15" x14ac:dyDescent="0.35">
      <c r="B57">
        <f t="shared" si="0"/>
        <v>17</v>
      </c>
      <c r="C57">
        <f t="shared" si="1"/>
        <v>2016</v>
      </c>
      <c r="D57">
        <f t="shared" si="4"/>
        <v>2201</v>
      </c>
      <c r="E57" s="31">
        <v>42482</v>
      </c>
      <c r="F57" s="74">
        <f t="shared" si="3"/>
        <v>2201</v>
      </c>
      <c r="G57" s="74"/>
      <c r="H57" s="74">
        <f>(0.35-0.3)*1000+(3.8*100)+(1.53*100)+(0.1*900)+(0.35*200)+(0.16-0.18)*200+(0.05*300)-(0.39*900+0.4*800)+(0.55*1700)-(2.59*500)+(2.88*400+2.89*100)-(0.2*500)+(0.16*600)-(0.3*500)+((6.8-0.4)*100)+((1.15-0.88)*200)+(4.7*100)</f>
        <v>2174</v>
      </c>
      <c r="I57" s="74">
        <f>+(200*0.135)</f>
        <v>27</v>
      </c>
      <c r="J57" s="74"/>
      <c r="K57" s="74"/>
      <c r="L57" s="74"/>
      <c r="M57" s="74"/>
      <c r="N57" s="191" t="s">
        <v>183</v>
      </c>
      <c r="O57" s="74">
        <f>(3.75*100-1.75-25)+(1.46*200-2*1.75-25)+(0.4*200-2*1.75-25)+(1.04*200-2*1.75-25)+((0.93-0.55)*400-2*(4*1.75+25))+((6.45-0.35)*100-2*(1.75+25))</f>
        <v>1487.25</v>
      </c>
    </row>
    <row r="58" spans="1:15" x14ac:dyDescent="0.35">
      <c r="B58">
        <f t="shared" si="0"/>
        <v>18</v>
      </c>
      <c r="C58">
        <f t="shared" si="1"/>
        <v>2016</v>
      </c>
      <c r="D58">
        <f t="shared" si="4"/>
        <v>1639.145</v>
      </c>
      <c r="E58" s="31">
        <v>42489</v>
      </c>
      <c r="F58" s="74">
        <f t="shared" si="3"/>
        <v>1639.145</v>
      </c>
      <c r="G58" s="30"/>
      <c r="H58" s="74">
        <f>(0.15*1200)+(0.75*200)-(0.01*200)+(2.2*100)+(0.1*500)-(0.01*100)-(0.01*100)+((0.23-0.01)*1200)+(1.6*300)</f>
        <v>1340</v>
      </c>
      <c r="I58" s="74">
        <f>0.42735*0.7*1000</f>
        <v>299.14499999999998</v>
      </c>
      <c r="J58" s="74"/>
      <c r="K58" s="74"/>
      <c r="L58" s="74"/>
      <c r="M58" s="74"/>
      <c r="N58" s="191" t="s">
        <v>353</v>
      </c>
      <c r="O58" s="74">
        <f>(0.75*300-3*1.75-25)+(0.55*300-3*1.75-25)+((2.15-1.95)*500-2*(5*1.75+25))+((5.55-5.35)*300-2*(3*1.75+25))-(0.01*100+1.75+25)</f>
        <v>333.75000000000006</v>
      </c>
    </row>
    <row r="59" spans="1:15" x14ac:dyDescent="0.35">
      <c r="B59">
        <f t="shared" si="0"/>
        <v>19</v>
      </c>
      <c r="C59">
        <f t="shared" si="1"/>
        <v>2016</v>
      </c>
      <c r="D59">
        <f t="shared" si="4"/>
        <v>2620</v>
      </c>
      <c r="E59" s="31">
        <v>42496</v>
      </c>
      <c r="F59" s="74">
        <f t="shared" si="3"/>
        <v>2620</v>
      </c>
      <c r="G59" s="30"/>
      <c r="H59" s="74">
        <f>(0.12*1200)+(0.85*200)+(5*1.13+1.14)*100+(1.07*100)+((8.5-8.45)*100)+(0.5*200)-(0.02*300)+(1.66*100)+(0.11*500)</f>
        <v>1420</v>
      </c>
      <c r="I59" s="74">
        <f>(2500*0.48)</f>
        <v>1200</v>
      </c>
      <c r="J59" s="74"/>
      <c r="K59" s="74"/>
      <c r="L59" s="74"/>
      <c r="M59" s="74"/>
      <c r="N59" s="191" t="s">
        <v>114</v>
      </c>
      <c r="O59" s="74">
        <f>(0.3*200-2*1.75-25)+((6.9-5.7)*100-2*(1.75+25))+(0.85*200-2*1.75-25)+(0.4*500-5*1.75-25)+((19-18.7)*100-2*(1.75+25))</f>
        <v>382.25000000000006</v>
      </c>
    </row>
    <row r="60" spans="1:15" x14ac:dyDescent="0.35">
      <c r="B60">
        <f t="shared" si="0"/>
        <v>20</v>
      </c>
      <c r="C60">
        <f t="shared" si="1"/>
        <v>2016</v>
      </c>
      <c r="D60">
        <f t="shared" si="4"/>
        <v>1444.9999999999998</v>
      </c>
      <c r="E60" s="31">
        <v>42503</v>
      </c>
      <c r="F60" s="74">
        <f t="shared" si="3"/>
        <v>1444.9999999999998</v>
      </c>
      <c r="G60" s="30"/>
      <c r="H60" s="74">
        <f>(0.4*1200)+(0.04*1200)-(8.3*100)+(2.13*400)-(0.06*500)+((0.7-0.65)*200)+(0.3*200)</f>
        <v>589.99999999999989</v>
      </c>
      <c r="I60" s="74">
        <f>(0.57*1500)</f>
        <v>854.99999999999989</v>
      </c>
      <c r="J60" s="74"/>
      <c r="K60" s="74"/>
      <c r="L60" s="74"/>
      <c r="M60" s="74"/>
      <c r="N60" s="191" t="s">
        <v>115</v>
      </c>
      <c r="O60" s="74">
        <f>(0.57*300)+(0.5*300-3*1.75-25)+(0.3*600-6*1.75-25)+(0.72*200-2*1.75-25)+((1.1-0.65)*300-2*(3*1.75+25))</f>
        <v>625.25</v>
      </c>
    </row>
    <row r="61" spans="1:15" x14ac:dyDescent="0.35">
      <c r="B61">
        <f t="shared" si="0"/>
        <v>21</v>
      </c>
      <c r="C61">
        <f t="shared" si="1"/>
        <v>2016</v>
      </c>
      <c r="D61">
        <f t="shared" si="4"/>
        <v>994.99999999999989</v>
      </c>
      <c r="E61" s="31">
        <v>42510</v>
      </c>
      <c r="F61" s="74">
        <f t="shared" si="3"/>
        <v>994.99999999999989</v>
      </c>
      <c r="G61" s="30"/>
      <c r="H61" s="74">
        <f>(1.35*100)+(0.06*1200)+(0.75*300)+((0.57-0.45)*600)+((0.37-0.03)*1200)-17</f>
        <v>894.99999999999989</v>
      </c>
      <c r="I61" s="74">
        <f>(0.2*500)</f>
        <v>100</v>
      </c>
      <c r="J61" s="74"/>
      <c r="K61" s="74"/>
      <c r="L61" s="74"/>
      <c r="M61" s="74"/>
      <c r="N61" s="191" t="s">
        <v>186</v>
      </c>
      <c r="O61" s="74">
        <f>(0.2*200)+(0.89*300-3*1.75-25)+(0.6*200-2*1.75-25)+(0.62*200-2*1.75-25)-(0.01*100+1*1.8+25)+((0.7-0.27)*600-2*(6*1.8+25))</f>
        <v>622.34999999999991</v>
      </c>
    </row>
    <row r="62" spans="1:15" x14ac:dyDescent="0.35">
      <c r="B62">
        <f t="shared" si="0"/>
        <v>22</v>
      </c>
      <c r="C62">
        <f t="shared" si="1"/>
        <v>2016</v>
      </c>
      <c r="D62">
        <f t="shared" si="4"/>
        <v>258.00000000000006</v>
      </c>
      <c r="E62" s="31">
        <v>42517</v>
      </c>
      <c r="F62" s="74">
        <f t="shared" si="3"/>
        <v>258.00000000000006</v>
      </c>
      <c r="G62" s="30"/>
      <c r="H62" s="74">
        <f>(1.7*100)+(0.2*200)+((1.45-1.41)*1200)</f>
        <v>258.00000000000006</v>
      </c>
      <c r="I62" s="155"/>
      <c r="J62" s="155"/>
      <c r="K62" s="155"/>
      <c r="L62" s="155"/>
      <c r="M62" s="155"/>
      <c r="O62" s="74">
        <f>((3-2)*100-2*(1.8+25))+(0.24*500-5*1.8-25)</f>
        <v>132.4</v>
      </c>
    </row>
    <row r="63" spans="1:15" x14ac:dyDescent="0.35">
      <c r="B63">
        <f t="shared" si="0"/>
        <v>23</v>
      </c>
      <c r="C63">
        <f t="shared" si="1"/>
        <v>2016</v>
      </c>
      <c r="D63">
        <f t="shared" si="4"/>
        <v>390</v>
      </c>
      <c r="E63" s="31">
        <v>42524</v>
      </c>
      <c r="F63" s="74">
        <f t="shared" si="3"/>
        <v>390</v>
      </c>
      <c r="G63" s="30"/>
      <c r="H63" s="74">
        <f>-12+(0.05*1200)+(0.21*1000)+((0.11-0.01)*200)+(0.12*200)+(0.04*400)+(0.18*400)</f>
        <v>390</v>
      </c>
      <c r="I63" s="74"/>
      <c r="J63" s="74"/>
      <c r="K63" s="74"/>
      <c r="L63" s="74"/>
      <c r="M63" s="74"/>
      <c r="N63" s="191"/>
      <c r="O63" s="74">
        <f>(0.41*300-3*1.8-25)+((0.43*1000-10*1.8-25))+((0.21*1000)-10*1.8-25)</f>
        <v>646.59999999999991</v>
      </c>
    </row>
    <row r="64" spans="1:15" x14ac:dyDescent="0.35">
      <c r="B64">
        <f t="shared" si="0"/>
        <v>24</v>
      </c>
      <c r="C64">
        <f t="shared" si="1"/>
        <v>2016</v>
      </c>
      <c r="D64">
        <f t="shared" si="4"/>
        <v>177.00000000000006</v>
      </c>
      <c r="E64" s="31">
        <v>42531</v>
      </c>
      <c r="F64" s="74">
        <f t="shared" si="3"/>
        <v>177.00000000000006</v>
      </c>
      <c r="G64" s="30"/>
      <c r="H64" s="74">
        <f>(0.07*400)+(0.05*300)+(0.06*900)+((3.47-3.35)*400)+((0.32-0.24)*400)</f>
        <v>177.00000000000006</v>
      </c>
      <c r="I64" s="74"/>
      <c r="J64" s="74"/>
      <c r="K64" s="74"/>
      <c r="L64" s="74"/>
      <c r="M64" s="74"/>
      <c r="N64" s="191"/>
      <c r="O64" s="74">
        <f>((2.5-2.35)*500-2*(5*1.8+25))</f>
        <v>6.9999999999999574</v>
      </c>
    </row>
    <row r="65" spans="2:15" x14ac:dyDescent="0.35">
      <c r="B65">
        <f t="shared" si="0"/>
        <v>25</v>
      </c>
      <c r="C65">
        <f t="shared" si="1"/>
        <v>2016</v>
      </c>
      <c r="D65">
        <f t="shared" si="4"/>
        <v>1362</v>
      </c>
      <c r="E65" s="31">
        <v>42538</v>
      </c>
      <c r="F65" s="74">
        <f t="shared" si="3"/>
        <v>1362</v>
      </c>
      <c r="G65" s="30"/>
      <c r="H65" s="74">
        <f>(0.1*1200)+((0.77-0.66)*1200)+((0.87-0.74)*400)+((1.7-1.5)*400)+(0.35*400)+(0.55*1000)+((0.09-0.04)*1200)+((1.01-0.9)*1200)+((0.61-0.47)*400)-(0.22*200)+(0.15*200)</f>
        <v>1308</v>
      </c>
      <c r="I65" s="74">
        <f>(0.54*100)</f>
        <v>54</v>
      </c>
      <c r="J65" s="74"/>
      <c r="K65" s="74"/>
      <c r="L65" s="74"/>
      <c r="M65" s="74"/>
      <c r="N65" s="191" t="s">
        <v>361</v>
      </c>
      <c r="O65" s="74">
        <f>(0.54*300)+((0.8*300)-3*1.8-25)+(2.1*100-1.8-25)+(2.15*100-1.8-25)</f>
        <v>743</v>
      </c>
    </row>
    <row r="66" spans="2:15" x14ac:dyDescent="0.35">
      <c r="B66">
        <f t="shared" si="0"/>
        <v>26</v>
      </c>
      <c r="C66">
        <f t="shared" si="1"/>
        <v>2016</v>
      </c>
      <c r="D66">
        <f t="shared" si="4"/>
        <v>463</v>
      </c>
      <c r="E66" s="31">
        <v>42545</v>
      </c>
      <c r="F66" s="74">
        <f t="shared" si="3"/>
        <v>463</v>
      </c>
      <c r="G66" s="30"/>
      <c r="H66" s="74">
        <f>-17+(0.2*1200)+(0.2*1000)+(0.4*100)</f>
        <v>463</v>
      </c>
      <c r="I66" s="74"/>
      <c r="J66" s="74"/>
      <c r="K66" s="74"/>
      <c r="L66" s="74"/>
      <c r="M66" s="74"/>
      <c r="N66" s="191"/>
      <c r="O66" s="74">
        <f>(0.18*1000)-10*1.8-25+(0.5*300-3*1.8-25)-(2.15*300+3*1.8+25)+(2.36*300-3*1.8-25)</f>
        <v>258.80000000000007</v>
      </c>
    </row>
    <row r="67" spans="2:15" x14ac:dyDescent="0.35">
      <c r="B67">
        <f t="shared" si="0"/>
        <v>27</v>
      </c>
      <c r="C67">
        <f t="shared" si="1"/>
        <v>2016</v>
      </c>
      <c r="D67">
        <f t="shared" si="4"/>
        <v>1492.9999999999998</v>
      </c>
      <c r="E67" s="31">
        <v>42552</v>
      </c>
      <c r="F67" s="74">
        <f t="shared" si="3"/>
        <v>1492.9999999999998</v>
      </c>
      <c r="G67" s="30"/>
      <c r="H67" s="74">
        <f>(0.3*400)+(0.2*1200)+(0.2*1000)+(0.3*500)+(0.1*200)+((0.39-0.32)*500)+((0.09-0.03)*1200)+((0.22-0.06)*400)+((0.12-0.06)*1000)+((0.87-0.79)*4800)+(0.75*100)+((0.22-0.17)*200)+((2.75-2.6)*500)-(0.01*1200)</f>
        <v>1492.9999999999998</v>
      </c>
      <c r="I67" s="74"/>
      <c r="J67" s="74"/>
      <c r="K67" s="74"/>
      <c r="L67" s="74"/>
      <c r="M67" s="74"/>
      <c r="N67" s="191"/>
      <c r="O67" s="74">
        <f>(2.2*100-1.8-25)+(0.28*1000-10*1.8-25)+(2*100-1.8-25)+(0.22*500-5*1.8-25)+(0.56*300-3*1.8-25)+(0.7*200-2*1.8-25)</f>
        <v>928.40000000000009</v>
      </c>
    </row>
    <row r="68" spans="2:15" x14ac:dyDescent="0.35">
      <c r="B68">
        <f t="shared" si="0"/>
        <v>28</v>
      </c>
      <c r="C68">
        <f t="shared" si="1"/>
        <v>2016</v>
      </c>
      <c r="D68">
        <f t="shared" si="4"/>
        <v>5362</v>
      </c>
      <c r="E68" s="31">
        <v>42559</v>
      </c>
      <c r="F68" s="74">
        <f t="shared" si="3"/>
        <v>5362</v>
      </c>
      <c r="G68" s="30"/>
      <c r="H68" s="74">
        <f>(0.81*1000)+(0.4*1000)+(0.4*1000)+(0.07*1200)+(0.8*300)-(0.69*200)+(0.85*200)+(0.41*500)</f>
        <v>2171</v>
      </c>
      <c r="I68" s="74"/>
      <c r="J68" s="74"/>
      <c r="K68" s="74"/>
      <c r="L68" s="74">
        <f>(40-35.5)*600-17+(35-35.5+1.55)*500-17</f>
        <v>3191</v>
      </c>
      <c r="M68" s="74"/>
      <c r="N68" s="191"/>
      <c r="O68" s="74">
        <f>(0.44*1000-10*1.8-25)+(0.78*400-4*1.8-25)+(3.6*100-1.8-25)+(1*600-6*1.8-25)+(0.39*500-5*1.8-25)</f>
        <v>1735.2</v>
      </c>
    </row>
    <row r="69" spans="2:15" x14ac:dyDescent="0.35">
      <c r="B69">
        <f t="shared" si="0"/>
        <v>29</v>
      </c>
      <c r="C69">
        <f t="shared" si="1"/>
        <v>2016</v>
      </c>
      <c r="D69">
        <f t="shared" si="4"/>
        <v>945.99999999999989</v>
      </c>
      <c r="E69" s="31">
        <v>42566</v>
      </c>
      <c r="F69" s="74">
        <f t="shared" si="3"/>
        <v>945.99999999999989</v>
      </c>
      <c r="G69" s="30"/>
      <c r="H69" s="74">
        <f>(0.05*1200)+((1.16-1.01)*1200)+((2.9-2.9)*500)+((0.4-0.24)*600)+(0.11*2800)-(0.01*300)-(0.01*500)+(0.3*1000)-17</f>
        <v>918.99999999999989</v>
      </c>
      <c r="I69" s="74">
        <f>200*0.135</f>
        <v>27</v>
      </c>
      <c r="J69" s="74"/>
      <c r="K69" s="74"/>
      <c r="L69" s="74"/>
      <c r="M69" s="74"/>
      <c r="N69" s="191" t="s">
        <v>183</v>
      </c>
      <c r="O69" s="74">
        <v>0</v>
      </c>
    </row>
    <row r="70" spans="2:15" x14ac:dyDescent="0.35">
      <c r="B70">
        <f t="shared" si="0"/>
        <v>30</v>
      </c>
      <c r="C70">
        <f t="shared" si="1"/>
        <v>2016</v>
      </c>
      <c r="D70">
        <f t="shared" si="4"/>
        <v>1303</v>
      </c>
      <c r="E70" s="31">
        <v>42573</v>
      </c>
      <c r="F70" s="74">
        <f t="shared" si="3"/>
        <v>1303</v>
      </c>
      <c r="G70" s="30"/>
      <c r="H70" s="74">
        <f>(0.06*1200)+(0.7*400)+(0.31*500)+(0.38*700)+(0.3*700)+(0.3*200-5)-(2.9*500+5)-(0.35*100+5)+(0.7*100-5)+(3.4*500-5)</f>
        <v>1303</v>
      </c>
      <c r="I70" s="74"/>
      <c r="J70" s="74"/>
      <c r="K70" s="74"/>
      <c r="L70" s="74"/>
      <c r="M70" s="74"/>
      <c r="N70" s="191"/>
      <c r="O70" s="74">
        <v>0</v>
      </c>
    </row>
    <row r="71" spans="2:15" x14ac:dyDescent="0.35">
      <c r="B71">
        <f t="shared" si="0"/>
        <v>31</v>
      </c>
      <c r="C71">
        <f t="shared" si="1"/>
        <v>2016</v>
      </c>
      <c r="D71">
        <f t="shared" si="4"/>
        <v>1327</v>
      </c>
      <c r="E71" s="31">
        <v>42580</v>
      </c>
      <c r="F71" s="74">
        <f t="shared" si="3"/>
        <v>1327</v>
      </c>
      <c r="G71" s="30"/>
      <c r="H71" s="74">
        <f>(1200*0.07-5)+(800*0.05-5)+(0.25*1000-5)+((0.82-0.81)*700-2*5)+(0.1*900-5)+(0.42*100)+((2.92-2.65)*100-2*5)+((1.48-1.28)*200-2*5)-(0.01*2800+5)+(0.07*1300-5)+(0.06*1500-5)+((0.79-0.77)*400-2*5)+(4.2*100-5)+((0.92-0.72)*700-2*5)+(0.2*200-5)+(0.43*200-5)</f>
        <v>1327</v>
      </c>
      <c r="I71" s="74"/>
      <c r="J71" s="74"/>
      <c r="K71" s="74"/>
      <c r="L71" s="74"/>
      <c r="M71" s="74"/>
      <c r="N71" s="191"/>
      <c r="O71" s="74">
        <f>(0.3*1000-10*0.8-10)+(0.35*1000-10*0.8-10)+(200*0.65-2*0.8-10)+(0.48*300-3*0.8-10)-(0.01*300+3*0.8+10)+(3.3*100-0.8-10)+(3.1*100-0.8-10)</f>
        <v>1467</v>
      </c>
    </row>
    <row r="72" spans="2:15" x14ac:dyDescent="0.35">
      <c r="B72">
        <f t="shared" si="0"/>
        <v>32</v>
      </c>
      <c r="C72">
        <f t="shared" si="1"/>
        <v>2016</v>
      </c>
      <c r="D72">
        <f t="shared" si="4"/>
        <v>2135</v>
      </c>
      <c r="E72" s="31">
        <v>42587</v>
      </c>
      <c r="F72" s="74">
        <f t="shared" si="3"/>
        <v>2135</v>
      </c>
      <c r="G72" s="30"/>
      <c r="H72" s="74">
        <f>(0.39*200-5)+(0.2*500-5)+(0.3*500-5)+(0.75*1000-5)-(2.52*500+5)+(3.25*500-5)+(0.04*1200-5)+((4.15-3.98)*100-2*5)</f>
        <v>1463</v>
      </c>
      <c r="I72" s="74">
        <f>1400*0.48</f>
        <v>672</v>
      </c>
      <c r="J72" s="74"/>
      <c r="K72" s="74"/>
      <c r="L72" s="74"/>
      <c r="M72" s="74"/>
      <c r="N72" s="191" t="s">
        <v>114</v>
      </c>
      <c r="O72" s="74">
        <f>(0.21*1000-10*0.8-10)+(0.65*300-3*0.8-10)+(0.32*500-5*0.8-10)+(0.43*500-5*0.8-10)+(0.75*1000-10*0.8-10)+(0.5*1000-10*0.8-10)-20-20+(0.31*500-5*0.8-10)</f>
        <v>2036.6</v>
      </c>
    </row>
    <row r="73" spans="2:15" x14ac:dyDescent="0.35">
      <c r="B73">
        <f t="shared" si="0"/>
        <v>33</v>
      </c>
      <c r="C73">
        <f t="shared" si="1"/>
        <v>2016</v>
      </c>
      <c r="D73">
        <f t="shared" si="4"/>
        <v>1487</v>
      </c>
      <c r="E73" s="31">
        <v>42594</v>
      </c>
      <c r="F73" s="74">
        <f t="shared" si="3"/>
        <v>1487</v>
      </c>
      <c r="G73" s="30"/>
      <c r="H73" s="74">
        <f>(0.2*400)+(0.09*4500)-20+(0.41*200-17)+((1-0.85)*300)</f>
        <v>575</v>
      </c>
      <c r="I73" s="74">
        <f>1600*0.57</f>
        <v>911.99999999999989</v>
      </c>
      <c r="J73" s="74"/>
      <c r="K73" s="74"/>
      <c r="L73" s="74"/>
      <c r="M73" s="74"/>
      <c r="N73" s="191" t="s">
        <v>115</v>
      </c>
      <c r="O73" s="74">
        <f>-20+(0.57*300)+(0.55*300-3*0.8-10)</f>
        <v>303.59999999999997</v>
      </c>
    </row>
    <row r="74" spans="2:15" x14ac:dyDescent="0.35">
      <c r="B74">
        <f t="shared" si="0"/>
        <v>34</v>
      </c>
      <c r="C74">
        <f t="shared" si="1"/>
        <v>2016</v>
      </c>
      <c r="D74">
        <f t="shared" si="4"/>
        <v>1305.9999999999998</v>
      </c>
      <c r="E74" s="31">
        <v>42601</v>
      </c>
      <c r="F74" s="74">
        <f t="shared" si="3"/>
        <v>1305.9999999999998</v>
      </c>
      <c r="H74" s="127">
        <f>(0.2*300)+(0.55*1000)+(0.29*400)+((0.84-0.77)*4800)+((0.82-0.7)*700)-(0.7*600)+(5.8*100)</f>
        <v>1305.9999999999998</v>
      </c>
      <c r="I74" s="155"/>
      <c r="J74" s="155"/>
      <c r="K74" s="155"/>
      <c r="L74" s="155"/>
      <c r="M74" s="155"/>
      <c r="O74" s="5">
        <f>-20+((0.45*500)-5*0.8-10)+((0.55*1000)-10*0.8-10)-(0.23*300+3*0.8+10)+(0.4*500-5*0.8-10)+(3.3*100-0.8-10)+(0.36*1000-0.8*10-10)</f>
        <v>1488.8</v>
      </c>
    </row>
    <row r="75" spans="2:15" x14ac:dyDescent="0.35">
      <c r="B75">
        <f t="shared" si="0"/>
        <v>35</v>
      </c>
      <c r="C75">
        <f t="shared" si="1"/>
        <v>2016</v>
      </c>
      <c r="D75">
        <f t="shared" si="4"/>
        <v>1296</v>
      </c>
      <c r="E75" s="31">
        <v>42608</v>
      </c>
      <c r="F75" s="74">
        <f t="shared" si="3"/>
        <v>1296</v>
      </c>
      <c r="H75" s="127">
        <f>(0.22*300)+(0.4*100)+(0.2*500)+(0.9*1100)</f>
        <v>1196</v>
      </c>
      <c r="I75" s="155">
        <f>0.2*500</f>
        <v>100</v>
      </c>
      <c r="J75" s="155"/>
      <c r="K75" s="155"/>
      <c r="L75" s="155"/>
      <c r="M75" s="155"/>
      <c r="N75" s="190" t="s">
        <v>186</v>
      </c>
      <c r="O75" s="5">
        <f>((11.35-10.42)*100-2*(0.8+10))+(0.4*300-3*0.8-10)+(0.13*1000-10*0.8-10)+(0.3*1000-10*0.8-10)+(0.25*400-4*0.8-10)-(0.97*1000+10*0.8+10)+(1.28*1000-10*0.8-10)</f>
        <v>933.8</v>
      </c>
    </row>
    <row r="76" spans="2:15" x14ac:dyDescent="0.35">
      <c r="B76">
        <f t="shared" si="0"/>
        <v>36</v>
      </c>
      <c r="C76">
        <f t="shared" si="1"/>
        <v>2016</v>
      </c>
      <c r="D76">
        <f t="shared" si="4"/>
        <v>1305</v>
      </c>
      <c r="E76" s="31">
        <v>42615</v>
      </c>
      <c r="F76" s="74">
        <f t="shared" si="3"/>
        <v>1305</v>
      </c>
      <c r="H76" s="127">
        <f>(0.18*4500)+(0.26*300)+(0.21*200)-(0.25*200)+(0.3*200)+((1.82-1.6)*500)+((0.07-0.06)*4500-2*5)+(0.69*200-5)+(0.25*200-5)-(0.19*200+5)+(0.45*200-5)</f>
        <v>1305</v>
      </c>
      <c r="I76" s="155"/>
      <c r="J76" s="155"/>
      <c r="K76" s="155"/>
      <c r="L76" s="155"/>
      <c r="M76" s="155"/>
      <c r="O76" s="5">
        <f>(0.2*1000-10*0.8-10)+(0.26*300-3*0.8-10)+(1.03*300-3*0.8-10)+(0.41*200-2*0.8-10)+(1.15*200-2*0.8-10)</f>
        <v>833</v>
      </c>
    </row>
    <row r="77" spans="2:15" x14ac:dyDescent="0.35">
      <c r="B77">
        <f t="shared" si="0"/>
        <v>37</v>
      </c>
      <c r="C77">
        <f t="shared" si="1"/>
        <v>2016</v>
      </c>
      <c r="D77">
        <f t="shared" si="4"/>
        <v>708</v>
      </c>
      <c r="E77" s="31">
        <v>42622</v>
      </c>
      <c r="F77" s="74">
        <f t="shared" si="3"/>
        <v>708</v>
      </c>
      <c r="H77" s="127">
        <f>(0.46*200-5)+(0.68*400-5)+(0.23*400-5)+(0.22*300-5)+((0.15-0.13)*4500-2*5)+((1.58-1.37)*200-2*5)+((0.62-0.36)*400-2*5)</f>
        <v>708</v>
      </c>
      <c r="I77" s="155"/>
      <c r="J77" s="155"/>
      <c r="K77" s="155"/>
      <c r="L77" s="155"/>
      <c r="M77" s="155"/>
      <c r="O77" s="5">
        <f>(0.35*500-5*0.8-10)+(0.85*200-2*0.8-10)+(0.3*400-4*0.8-10)+(0.6*1000-0.8*10-10)+((2.76-2.34)*300-2*(3*0.8+10))+((0.88-0.38)*200-2*(2*0.8+10))+((1.58-1.38)*1000-2*(10*0.8+10))+((6.85-5.95)*100-2*(1*0.8+10))</f>
        <v>1418.6000000000001</v>
      </c>
    </row>
    <row r="78" spans="2:15" x14ac:dyDescent="0.35">
      <c r="B78">
        <f t="shared" si="0"/>
        <v>38</v>
      </c>
      <c r="C78">
        <f t="shared" si="1"/>
        <v>2016</v>
      </c>
      <c r="D78">
        <f t="shared" si="4"/>
        <v>972.99999999999909</v>
      </c>
      <c r="E78" s="31">
        <v>42629</v>
      </c>
      <c r="F78" s="74">
        <f t="shared" si="3"/>
        <v>972.99999999999909</v>
      </c>
      <c r="H78" s="127">
        <f>((0.23-0.03)*200-2*5)-(9*1000+5)+(36.5*200-5)+(8.65*200-5)-(1.29*300+5)+(2.05*500-5)-(12.75*600+5)+(5.27*1500-5)-17+((1.05-0.67)*100-2*5)+((0.85-0.7)*400-2*5)+((1.74-1.7)*400-2*5)+((4.16-3.8)*400-2*5)</f>
        <v>1118.9999999999991</v>
      </c>
      <c r="I78" s="155">
        <f>0.54*100</f>
        <v>54</v>
      </c>
      <c r="J78" s="155"/>
      <c r="K78" s="155"/>
      <c r="L78" s="155">
        <f>(6-8)*100</f>
        <v>-200</v>
      </c>
      <c r="M78" s="155"/>
      <c r="N78" s="190" t="s">
        <v>361</v>
      </c>
      <c r="O78" s="5">
        <f>0.54*300+(0.28*200-2*0.8-10)+((1.56-1.13)*200-2*(2*0.8+10))+((1.78-1.4)*400-2*(4*0.8+10))</f>
        <v>394.80000000000007</v>
      </c>
    </row>
    <row r="79" spans="2:15" x14ac:dyDescent="0.35">
      <c r="B79">
        <f t="shared" ref="B79:B110" si="5">WEEKNUM(E79)</f>
        <v>39</v>
      </c>
      <c r="C79">
        <f t="shared" ref="C79:C110" si="6">YEAR(E79)</f>
        <v>2016</v>
      </c>
      <c r="D79">
        <f t="shared" si="4"/>
        <v>4247</v>
      </c>
      <c r="E79" s="31">
        <v>42636</v>
      </c>
      <c r="F79" s="74">
        <f t="shared" si="3"/>
        <v>4247</v>
      </c>
      <c r="H79" s="127">
        <f>(0.9*200-5)-(0.57*1400+5)+(1.05*1400-5)-(0.02*200+5)+(0.72*300-5)+(1.08*1000-5)+(1.46*1000-5)+(0.45*200-5)+(0.1*400-5)-17+((0.56-0.46)*400-2*5)+((0.68-0.18)*500-2*5)+((4.5-4.29)*1500-2*5)</f>
        <v>4247</v>
      </c>
      <c r="I79" s="155"/>
      <c r="J79" s="155"/>
      <c r="K79" s="155"/>
      <c r="L79" s="155"/>
      <c r="M79" s="155"/>
      <c r="O79" s="5">
        <f>(0.55*400-4*0.8-10)+(1.64*1000-0.8*10-10)+(0.71*200-2*0.8-10)+(0.45*200-0.8*2-10)+(0.45*300-0.8*3-10)+(0.35*400-0.8*4-10)+((1.7-1.44)*1000-2*(10*0.8+10))</f>
        <v>2511.0000000000005</v>
      </c>
    </row>
    <row r="80" spans="2:15" x14ac:dyDescent="0.35">
      <c r="B80">
        <f t="shared" si="5"/>
        <v>40</v>
      </c>
      <c r="C80">
        <f t="shared" si="6"/>
        <v>2016</v>
      </c>
      <c r="D80">
        <f t="shared" si="4"/>
        <v>1038</v>
      </c>
      <c r="E80" s="31">
        <v>42643</v>
      </c>
      <c r="F80" s="74">
        <f t="shared" si="3"/>
        <v>1038</v>
      </c>
      <c r="H80" s="127">
        <f>(0.23*4500-5)+(0.15*200-5)-17</f>
        <v>1038</v>
      </c>
      <c r="I80" s="155"/>
      <c r="J80" s="155"/>
      <c r="K80" s="155"/>
      <c r="L80" s="155"/>
      <c r="M80" s="155"/>
      <c r="O80" s="5">
        <f>(0.21*500-0.8*5-10)+(0.38*500-0.8*5-10)-20+((1.2-0.7)*200-2*(2*0.8+10))+((2.95-2.52)*200-2*(2*0.8+10))+((0.82-0.55)*1000-2*(10*0.8+10))</f>
        <v>620.59999999999991</v>
      </c>
    </row>
    <row r="81" spans="2:19" x14ac:dyDescent="0.35">
      <c r="B81">
        <f t="shared" si="5"/>
        <v>41</v>
      </c>
      <c r="C81">
        <f t="shared" si="6"/>
        <v>2016</v>
      </c>
      <c r="D81">
        <f t="shared" si="4"/>
        <v>1077</v>
      </c>
      <c r="E81" s="31">
        <v>42650</v>
      </c>
      <c r="F81" s="74">
        <f t="shared" si="3"/>
        <v>1077</v>
      </c>
      <c r="H81" s="127">
        <f>(0.3*300-5)+(0.5*200-5)+(0.76*200-5)+((0.71-0.64)*4500-10)+((3.35-3.3)*500-2*5)+(0.87*500-5)</f>
        <v>1077</v>
      </c>
      <c r="I81" s="155"/>
      <c r="J81" s="155"/>
      <c r="K81" s="155"/>
      <c r="L81" s="155"/>
      <c r="M81" s="155"/>
      <c r="O81" s="5">
        <f>(0.27*200-0.8*2-10)+(4.3*100-0.8-10)+(0.85*1000-0.8*10-10)+(0.3*1400-0.8*14-20)+((1.9-1.62)*500-2*(0.8*5+10))-20</f>
        <v>1774.3999999999999</v>
      </c>
    </row>
    <row r="82" spans="2:19" x14ac:dyDescent="0.35">
      <c r="B82">
        <f t="shared" si="5"/>
        <v>42</v>
      </c>
      <c r="C82">
        <f t="shared" si="6"/>
        <v>2016</v>
      </c>
      <c r="D82">
        <f t="shared" si="4"/>
        <v>1172</v>
      </c>
      <c r="E82" s="31">
        <v>42657</v>
      </c>
      <c r="F82" s="74">
        <f t="shared" si="3"/>
        <v>1172</v>
      </c>
      <c r="H82" s="127">
        <f>(0.21*300-5)+(0.91*200-5)+(0.2*200-5)+(0.22*400-5)-(0.52*4500+5)-(0.15*500+5)+(27.8*100-5)+((0.8-0.59)*200-2*5)+(0.65*100-5)+((3.8-3.3)*500-2*5)+((0.41-0.1)*300-2*5)</f>
        <v>1118</v>
      </c>
      <c r="I82" s="155">
        <f>400*0.135</f>
        <v>54</v>
      </c>
      <c r="J82" s="155"/>
      <c r="K82" s="155"/>
      <c r="L82" s="155"/>
      <c r="M82" s="155"/>
      <c r="N82" s="190" t="s">
        <v>183</v>
      </c>
      <c r="O82" s="155">
        <f>1000*0.135+(0.21*200-0.8*2-10)+(0.32*500-0.8*5-10)-20+(0.15*300-0.8*3-10)+(0.63*200-2*0.8-10)+((1.88-1.82)*400-2*(4*0.8+10))+((1.57-1.26)*1000-2*(0.8*10+10))+((3.6-3.48)*700-2*(0.8*7+10))-(1.5*200+2*0.8+10)+(2*200-2*0.8-10)-20-(0.08*200+0.8*2+10)</f>
        <v>792</v>
      </c>
    </row>
    <row r="83" spans="2:19" x14ac:dyDescent="0.35">
      <c r="B83">
        <f t="shared" si="5"/>
        <v>43</v>
      </c>
      <c r="C83">
        <f t="shared" si="6"/>
        <v>2016</v>
      </c>
      <c r="D83">
        <f t="shared" si="4"/>
        <v>184.00000000000003</v>
      </c>
      <c r="E83" s="31">
        <v>42664</v>
      </c>
      <c r="F83" s="74">
        <f t="shared" si="3"/>
        <v>184.00000000000003</v>
      </c>
      <c r="H83" s="127">
        <f>(0.27*200-5)+(0.45*100-5)+(0.16*300-5)+((1.8-1.66)*200-2*5)+((1.22-1)*200-2*5)</f>
        <v>184.00000000000003</v>
      </c>
      <c r="I83" s="155"/>
      <c r="J83" s="155"/>
      <c r="K83" s="155"/>
      <c r="L83" s="155"/>
      <c r="M83" s="155"/>
      <c r="O83" s="5">
        <f>(0.25*200-0.8*2-10)+(11.5*100-0.8-10)+(0.5*200-2*0.8-10)+(0.1*500-0.8*5-10)+((0.38-0.13)*300-2*(3*0.8+10))+((1-0.34)*500-2*(0.8*5+10))</f>
        <v>1654.2000000000003</v>
      </c>
    </row>
    <row r="84" spans="2:19" x14ac:dyDescent="0.35">
      <c r="B84">
        <f t="shared" si="5"/>
        <v>44</v>
      </c>
      <c r="C84">
        <f t="shared" si="6"/>
        <v>2016</v>
      </c>
      <c r="D84">
        <f t="shared" si="4"/>
        <v>1700</v>
      </c>
      <c r="E84" s="31">
        <v>42671</v>
      </c>
      <c r="F84" s="74">
        <f t="shared" si="3"/>
        <v>1700</v>
      </c>
      <c r="H84" s="127">
        <f>(0.8*200-5)+(0.25*100-5)+(6.5*100-5)+(0.38*200-5)+(0.18*500-5)+(0.2*100-5)+(0.45*300-5)+(0.4*300-5)+((0.86-0.72)*400-5)+(0.55*200-5)+((0.12-0.05)*1400-2*5)+((2.15-2)*1500-2*5)+((1.8-1.3)*200-2*5)</f>
        <v>1784.9999999999998</v>
      </c>
      <c r="I84" s="155"/>
      <c r="J84" s="155">
        <f>-(9.95*100+5)+(10.6*100-5)</f>
        <v>55.000000000000114</v>
      </c>
      <c r="K84" s="165">
        <f>-((0.75+0.55)*100+2*5)</f>
        <v>-140</v>
      </c>
      <c r="L84" s="155"/>
      <c r="M84" s="155"/>
      <c r="O84" s="5">
        <f>-(6.6*300+0.8*3+10)+(6.7*300-3*0.8-10)+(0.25*300-3*0.8-10)+(6.5*100-0.8-10)+(0.38*200-2*0.8-10)+((2.1-1.4)*200-2*(2*0.8+10))+((1.77-1.4)*200-2*(2*0.8+10))-20+((3.77-2.5)*300-2*(3*0.8+10))+((0.4*200)-2*0.8-10)-(1.3*200+2*0.8+10)+(1.8*200-2*0.8-10)+(0.45*700-7*0.8-10)</f>
        <v>1719.8000000000002</v>
      </c>
    </row>
    <row r="85" spans="2:19" x14ac:dyDescent="0.35">
      <c r="B85">
        <f t="shared" si="5"/>
        <v>45</v>
      </c>
      <c r="C85">
        <f t="shared" si="6"/>
        <v>2016</v>
      </c>
      <c r="D85">
        <f t="shared" si="4"/>
        <v>2721</v>
      </c>
      <c r="E85" s="31">
        <v>42678</v>
      </c>
      <c r="F85" s="74">
        <f t="shared" si="3"/>
        <v>2721</v>
      </c>
      <c r="H85" s="127">
        <f>(0.55*1000-5)+(0.25*100-5)+(1.31*400-5)+(0.25*400-5)+(0.3*200-5)-(1.14*4500+5)+(7.5*900-5)+((4.25-4.25)*400-2*5)+((2.29-2.03)*500-2*5)-(3*300+5)</f>
        <v>2049</v>
      </c>
      <c r="I85" s="155">
        <f>1400*0.48</f>
        <v>672</v>
      </c>
      <c r="J85" s="155"/>
      <c r="K85" s="155"/>
      <c r="L85" s="155"/>
      <c r="M85" s="155"/>
      <c r="N85" s="190" t="s">
        <v>114</v>
      </c>
      <c r="O85" s="5">
        <f>(4.7*100-0.8-10)+(0.56*1000-10*0.8-10)+(0.25*200-2*0.8-10)+(0.25*600-0.8*6-10)+(2.36*100-0.8-10)+(0.35*1000-10*0.8-10)+(0.3*400-4*0.8-10)-(1.52*1000+10*0.8+10)+(3*600-6*0.8-10)+(1.3*400-0.8*4-10)+((2.42-2.06)*200-2*(2*0.8+10))+((2.19-1.9)*500-2*(5*0.8+10))+((4.1-4.02)*400-2*(4*0.8+10))-(1.15*200+0.8*2+10)+(1.21*200-0.8*2-10)</f>
        <v>2753.0000000000005</v>
      </c>
    </row>
    <row r="86" spans="2:19" x14ac:dyDescent="0.35">
      <c r="B86">
        <f t="shared" si="5"/>
        <v>46</v>
      </c>
      <c r="C86">
        <f t="shared" si="6"/>
        <v>2016</v>
      </c>
      <c r="D86">
        <f t="shared" si="4"/>
        <v>3029.1</v>
      </c>
      <c r="E86" s="31">
        <v>42685</v>
      </c>
      <c r="F86" s="74">
        <f t="shared" si="3"/>
        <v>3029.1</v>
      </c>
      <c r="H86" s="127">
        <f>(2.65*200-5)+(0.19*1400-5)+(0.25*200-5)+(0.3*400-5)+((1.25-0.93)*1500-2*5)+(1.6*300-5)-(0.95*300+5)+(0.16*400-5)+(0.45*300-5)+((1-0.92)*4000-2*5)+((3.4-3.35)*200-2*5)</f>
        <v>2100</v>
      </c>
      <c r="I86" s="155">
        <f>1630*0.57</f>
        <v>929.09999999999991</v>
      </c>
      <c r="J86" s="155"/>
      <c r="K86" s="155"/>
      <c r="L86" s="155"/>
      <c r="M86" s="155"/>
      <c r="N86" s="190" t="s">
        <v>115</v>
      </c>
      <c r="O86" s="5">
        <f>(0.57*300)+(0.3*600-0.8*6-10)+((1.21-0.37)*200-2*(0.8*2+10))+((0.17*1000)-0.8*10-10)+((0.96-0.78)*500-2*(0.8*5+10))+(0.45*300-0.8*3-10)+((20.1-19.7)*100-2*(0.8+10))-(6.8*200+2*0.8+10)+(4.7*400-0.8*4-10)</f>
        <v>1331.2000000000003</v>
      </c>
    </row>
    <row r="87" spans="2:19" x14ac:dyDescent="0.35">
      <c r="B87">
        <f t="shared" si="5"/>
        <v>47</v>
      </c>
      <c r="C87">
        <f t="shared" si="6"/>
        <v>2016</v>
      </c>
      <c r="D87">
        <f t="shared" si="4"/>
        <v>1404</v>
      </c>
      <c r="E87" s="31">
        <v>42692</v>
      </c>
      <c r="F87" s="74">
        <f t="shared" si="3"/>
        <v>1404</v>
      </c>
      <c r="H87" s="127">
        <f>((1.55-1.46)*500-2*5)+((1.35-0.95)*100-2*5)+(0.45*1400-5)+(0.35*200-5)+((1.43-1.4)*400-2*5)+(0.25*500-5)+((0.55-0.32)*200-2*5)+((0.69-0.59)*500-2*5)-17+((6.75-6.6)*400-2*5)+((58.9-57)*100-2*5)+((1.15-1.05)*400-2*5)+((1.48-1.34)*100-2*5)+((1.05-0.88)*200-2*5)+(0.37*500-5)</f>
        <v>1404</v>
      </c>
      <c r="I87" s="155"/>
      <c r="J87" s="155"/>
      <c r="K87" s="155"/>
      <c r="L87" s="155"/>
      <c r="M87" s="155"/>
      <c r="O87" s="5">
        <f>((1.56-1.48)*500-2*(0.8*5+10))+((1.9-1.85)*300-2*(0.8*3+10))+(0.31*700-0.8*7-10)+(0.6*400-0.8*4-10)+((1.35-0.9)*200-2*(0.8*2+10))+(0.4*200-0.8*2-10)+(0.67*300-0.8*3-10)+((32.2-29.5)*100-2*(0.8+10))+((2.05-1.18)*100-2*(0.8+10))+((7-6.7)*400-2*(0.8*4+10))+((0.47-0.09)*1000-2*(0.8*10+10))+(0.38*300-0.8*3-10)</f>
        <v>1607.2000000000003</v>
      </c>
    </row>
    <row r="88" spans="2:19" x14ac:dyDescent="0.35">
      <c r="B88">
        <f t="shared" si="5"/>
        <v>48</v>
      </c>
      <c r="C88">
        <f t="shared" si="6"/>
        <v>2016</v>
      </c>
      <c r="D88">
        <f t="shared" si="4"/>
        <v>257</v>
      </c>
      <c r="E88" s="31">
        <v>42699</v>
      </c>
      <c r="F88" s="74">
        <f t="shared" si="3"/>
        <v>257</v>
      </c>
      <c r="H88" s="127">
        <f>(0.21*300-5)+(1.02*200-5)</f>
        <v>257</v>
      </c>
      <c r="O88" s="5">
        <f>(0.45*400-0.8*4-10)-(0.87*700+0.8*7+10)+(1.1*700-0.8*7-10)+(0.27*500-0.8*5-10)+((0.6-0.04)*1000-2*(0.8*10+10))</f>
        <v>941.59999999999991</v>
      </c>
    </row>
    <row r="89" spans="2:19" x14ac:dyDescent="0.35">
      <c r="B89">
        <f t="shared" si="5"/>
        <v>49</v>
      </c>
      <c r="C89">
        <f t="shared" si="6"/>
        <v>2016</v>
      </c>
      <c r="D89">
        <f t="shared" si="4"/>
        <v>6133</v>
      </c>
      <c r="E89" s="31">
        <v>42706</v>
      </c>
      <c r="F89" s="74">
        <f t="shared" si="3"/>
        <v>6133</v>
      </c>
      <c r="H89" s="127">
        <f>(2.62*1500-5)+(0.13*300-5)-(0.37*4000+5)+(3.1*600-5)-17+((0.71-0.32)*4500-2*5)</f>
        <v>6057</v>
      </c>
      <c r="I89" s="155">
        <f>0.38*200</f>
        <v>76</v>
      </c>
      <c r="J89" s="155"/>
      <c r="K89" s="155"/>
      <c r="L89" s="155"/>
      <c r="M89" s="155"/>
      <c r="N89" s="190" t="s">
        <v>387</v>
      </c>
      <c r="O89" s="169">
        <f>0.38*200+(0.67*500-0.8*5-10)+(0.21*200-0.8*2-10)+((10-9.7)*100-2*(0.8+10))+((1.21-1.06)*300-2*(0.8*3+10))+((4.9-4.7)*700-2*(0.8*7+10))</f>
        <v>564.80000000000018</v>
      </c>
    </row>
    <row r="90" spans="2:19" x14ac:dyDescent="0.35">
      <c r="B90">
        <f t="shared" si="5"/>
        <v>50</v>
      </c>
      <c r="C90">
        <f t="shared" si="6"/>
        <v>2016</v>
      </c>
      <c r="D90">
        <f t="shared" si="4"/>
        <v>729.00000000000023</v>
      </c>
      <c r="E90" s="31">
        <v>42713</v>
      </c>
      <c r="F90" s="74">
        <f t="shared" si="3"/>
        <v>729.00000000000023</v>
      </c>
      <c r="H90" s="127">
        <f>(0.73*400-5)-(0.71*500+5)+(0.9*500-5)+((53.5-52.8)*100-2*5)+((2.05-1.55)*200-2*5)+((2.4-2.19)*200-2*5)</f>
        <v>554.00000000000023</v>
      </c>
      <c r="I90" s="155">
        <f>0.25*700</f>
        <v>175</v>
      </c>
      <c r="J90" s="155"/>
      <c r="K90" s="155"/>
      <c r="L90" s="155"/>
      <c r="M90" s="155"/>
      <c r="N90" s="190" t="s">
        <v>186</v>
      </c>
      <c r="O90" s="170">
        <f>(0.25*700)+(0.46*400-0.8*4-10)-20+((1.3-0.95)*600-2*(0.85*6+10))</f>
        <v>505.60000000000008</v>
      </c>
    </row>
    <row r="91" spans="2:19" x14ac:dyDescent="0.35">
      <c r="B91">
        <f t="shared" si="5"/>
        <v>51</v>
      </c>
      <c r="C91">
        <f t="shared" si="6"/>
        <v>2016</v>
      </c>
      <c r="D91">
        <f t="shared" si="4"/>
        <v>-560.99999999999909</v>
      </c>
      <c r="E91" s="31">
        <v>42720</v>
      </c>
      <c r="F91" s="74">
        <f t="shared" si="3"/>
        <v>-560.99999999999909</v>
      </c>
      <c r="H91" s="127">
        <f>+((0.31*500)-5)+((0.31*500)-5)+((49.25-49.15)*200-2*5)+((17.19-17.1)*200-2*5)+(0.86*200-5)+((1.15-1.09)*300-2*5)+(0.16*300-5)</f>
        <v>536.00000000000023</v>
      </c>
      <c r="I91" s="155">
        <f>0.54*100</f>
        <v>54</v>
      </c>
      <c r="K91" s="155">
        <f>-(0.17*300+5)</f>
        <v>-56.000000000000007</v>
      </c>
      <c r="L91" s="155">
        <f>(5-5.77)*1400-17</f>
        <v>-1094.9999999999993</v>
      </c>
      <c r="M91" s="155"/>
      <c r="N91" s="190" t="s">
        <v>361</v>
      </c>
      <c r="O91" s="182">
        <f>0.54*300+((0.85*300)-0.85*3-10)+((1.55-1.13)*400-2*(0.85*4+10))+((0.54-0.08)*500-2*(0.85*5+10))</f>
        <v>747.15000000000009</v>
      </c>
    </row>
    <row r="92" spans="2:19" x14ac:dyDescent="0.35">
      <c r="B92">
        <f t="shared" si="5"/>
        <v>52</v>
      </c>
      <c r="C92">
        <f t="shared" si="6"/>
        <v>2016</v>
      </c>
      <c r="D92">
        <f t="shared" si="4"/>
        <v>880.5</v>
      </c>
      <c r="E92" s="31">
        <v>42727</v>
      </c>
      <c r="F92" s="74">
        <f t="shared" si="3"/>
        <v>880.5</v>
      </c>
      <c r="H92" s="127">
        <f>(0.65*200-5)+(1.32*400-5)+((2.5-2.15)*200-3*5)+((1.29-0.49)*200-2*5)</f>
        <v>853</v>
      </c>
      <c r="I92" s="155">
        <f>500*0.055</f>
        <v>27.5</v>
      </c>
      <c r="J92" s="155"/>
      <c r="K92" s="155"/>
      <c r="L92" s="155"/>
      <c r="M92" s="155"/>
      <c r="N92" s="190" t="s">
        <v>398</v>
      </c>
      <c r="O92" s="5">
        <f>((2.75-2.62)*500-2*(0.85*5+10))+((7.25-5.95)*400-2*(0.85*4+10))+((0.31-0.07)*500-2*(0.85*5+10))+((1.64-1.01)*700-2*(0.85*7+10))+((1.24-0.77)*600-2*(0.85*6+10))+((1.29-1.16)*400-2*(0.85*4+10))+((1.32-0.33)*300-2*(0.85*3+10))</f>
        <v>1579.1999999999998</v>
      </c>
    </row>
    <row r="93" spans="2:19" x14ac:dyDescent="0.35">
      <c r="B93">
        <f t="shared" si="5"/>
        <v>53</v>
      </c>
      <c r="C93">
        <f t="shared" si="6"/>
        <v>2016</v>
      </c>
      <c r="D93">
        <f t="shared" si="4"/>
        <v>-21579</v>
      </c>
      <c r="E93" s="31">
        <v>42734</v>
      </c>
      <c r="F93" s="74">
        <f t="shared" ref="F93:F135" si="7">SUM(G93:L93)</f>
        <v>-21579</v>
      </c>
      <c r="H93" s="127">
        <f>(0.35*400-5)+(0.26*500-5)+(0.24*500-5)+(0.11*300-5)+(0.2*500-5)+(1.6*200-5)-17+((0.98-0.18)*200-2*5)</f>
        <v>946</v>
      </c>
      <c r="I93" s="155"/>
      <c r="J93" s="155">
        <f>-(5.15*1400+5)+(5.1*400-5)+(5.25*1000-5)</f>
        <v>64.999999999999091</v>
      </c>
      <c r="K93" s="155"/>
      <c r="L93" s="155">
        <f>(24.5-99.8)*300</f>
        <v>-22590</v>
      </c>
      <c r="M93" s="155"/>
      <c r="O93" s="5">
        <f>(0.28*500-5*0.85-10)+(0.26*300-(3*0.85+10))</f>
        <v>191.2</v>
      </c>
      <c r="P93" s="30" t="s">
        <v>415</v>
      </c>
      <c r="Q93" s="30" t="s">
        <v>416</v>
      </c>
      <c r="R93" s="30" t="s">
        <v>415</v>
      </c>
      <c r="S93" s="30" t="s">
        <v>416</v>
      </c>
    </row>
    <row r="94" spans="2:19" x14ac:dyDescent="0.35">
      <c r="B94">
        <f t="shared" si="5"/>
        <v>1</v>
      </c>
      <c r="C94">
        <f t="shared" si="6"/>
        <v>2017</v>
      </c>
      <c r="D94">
        <f t="shared" si="4"/>
        <v>4243</v>
      </c>
      <c r="E94" s="31">
        <v>42741</v>
      </c>
      <c r="F94" s="74">
        <f t="shared" si="7"/>
        <v>4243</v>
      </c>
      <c r="H94" s="127">
        <f>((1.02-0.9)*200-2*5)+((0.34-0.12)*200-2*5)+(0.22*500-5)+(0.27*500-5)-17+((1.4-1.08)*200-2*5)+((4-2.96)*400-2*5)+((0.5-0.19)*200-2*5)+((6.54-6)*1500-2*5)+((28.75-22)*100-2*5)</f>
        <v>2243</v>
      </c>
      <c r="I94" s="155"/>
      <c r="J94" s="155"/>
      <c r="K94" s="155"/>
      <c r="L94" s="155">
        <f>(37.5-35.5)*1000</f>
        <v>2000</v>
      </c>
      <c r="M94" s="155"/>
      <c r="O94" s="5">
        <v>0</v>
      </c>
      <c r="P94" s="30">
        <f>AVERAGE(O$94:O94)</f>
        <v>0</v>
      </c>
      <c r="Q94" s="30">
        <f>AVERAGE(F$94:F94)</f>
        <v>4243</v>
      </c>
      <c r="R94" s="30">
        <f>SUM(O$94:O94)</f>
        <v>0</v>
      </c>
      <c r="S94" s="30">
        <f>SUM(F$94:F94)</f>
        <v>4243</v>
      </c>
    </row>
    <row r="95" spans="2:19" x14ac:dyDescent="0.35">
      <c r="B95">
        <f t="shared" si="5"/>
        <v>2</v>
      </c>
      <c r="C95">
        <f t="shared" si="6"/>
        <v>2017</v>
      </c>
      <c r="D95">
        <f t="shared" si="4"/>
        <v>0</v>
      </c>
      <c r="E95" s="31">
        <v>42748</v>
      </c>
      <c r="F95" s="74">
        <f t="shared" si="7"/>
        <v>0</v>
      </c>
      <c r="H95" s="127">
        <v>0</v>
      </c>
      <c r="O95" s="5">
        <f>-(0.04*300+3*0.8+10)-(0.04*600+6*0.8+10)-(0.05*300+3*0.8+10)+SUM(OptionPremiumIncome_2_IRA!I67:Q67)</f>
        <v>-70.599999999999994</v>
      </c>
      <c r="P95" s="30">
        <f>AVERAGE(O$94:O95)</f>
        <v>-35.299999999999997</v>
      </c>
      <c r="Q95" s="30">
        <f>AVERAGE(F$94:F95)</f>
        <v>2121.5</v>
      </c>
      <c r="R95" s="30">
        <f>SUM(O$94:O95)</f>
        <v>-70.599999999999994</v>
      </c>
      <c r="S95" s="30">
        <f>SUM(F$94:F95)</f>
        <v>4243</v>
      </c>
    </row>
    <row r="96" spans="2:19" x14ac:dyDescent="0.35">
      <c r="B96">
        <f t="shared" si="5"/>
        <v>3</v>
      </c>
      <c r="C96">
        <f t="shared" si="6"/>
        <v>2017</v>
      </c>
      <c r="D96">
        <f t="shared" si="4"/>
        <v>1285</v>
      </c>
      <c r="E96" s="31">
        <v>42755</v>
      </c>
      <c r="F96" s="74">
        <f t="shared" si="7"/>
        <v>1285</v>
      </c>
      <c r="H96" s="127">
        <f>(1.47*200)+(0.6*500)+(0.38*500)+(0.27*400)+((1.86-1.85)*200)+((0.77-0.69)*300)+SUM(OptionPremiumIncome_1!GY93:HC93)</f>
        <v>1285</v>
      </c>
      <c r="O96" s="5">
        <f>OptionPremiumIncome_2_IRA!H67</f>
        <v>66.000000000000028</v>
      </c>
      <c r="P96" s="30">
        <f>AVERAGE(O$94:O96)</f>
        <v>-1.5333333333333219</v>
      </c>
      <c r="Q96" s="30">
        <f>AVERAGE(F$94:F96)</f>
        <v>1842.6666666666667</v>
      </c>
      <c r="R96" s="30">
        <f>SUM(O$94:O96)</f>
        <v>-4.5999999999999659</v>
      </c>
      <c r="S96" s="30">
        <f>SUM(F$94:F96)</f>
        <v>5528</v>
      </c>
    </row>
    <row r="97" spans="2:19" x14ac:dyDescent="0.35">
      <c r="B97">
        <f t="shared" si="5"/>
        <v>4</v>
      </c>
      <c r="C97">
        <f t="shared" si="6"/>
        <v>2017</v>
      </c>
      <c r="D97">
        <f t="shared" si="4"/>
        <v>1294</v>
      </c>
      <c r="E97" s="31">
        <v>42762</v>
      </c>
      <c r="F97" s="74">
        <f t="shared" si="7"/>
        <v>1294</v>
      </c>
      <c r="H97" s="127">
        <f>(0.55*500)+(0.42*600)+(3.19*100)+(0.35*400)-17+(0.37*200-5)+SUM(OptionPremiumIncome_1!GW93:GX93)</f>
        <v>1238</v>
      </c>
      <c r="I97">
        <f>400*0.14</f>
        <v>56.000000000000007</v>
      </c>
      <c r="N97" s="190" t="s">
        <v>183</v>
      </c>
      <c r="O97" s="5">
        <f>(0.14*1000)+(0.5*500-5)+(0.36*200-5)+(1.26*200)+(3.3*100)+SUM(OptionPremiumIncome_2_IRA!H67:I67)</f>
        <v>1120</v>
      </c>
      <c r="P97" s="30">
        <f>AVERAGE(O$94:O97)</f>
        <v>278.85000000000002</v>
      </c>
      <c r="Q97" s="30">
        <f>AVERAGE(F$94:F97)</f>
        <v>1705.5</v>
      </c>
      <c r="R97" s="30">
        <f>SUM(O$94:O97)</f>
        <v>1115.4000000000001</v>
      </c>
      <c r="S97" s="30">
        <f>SUM(F$94:F97)</f>
        <v>6822</v>
      </c>
    </row>
    <row r="98" spans="2:19" x14ac:dyDescent="0.35">
      <c r="B98">
        <f t="shared" si="5"/>
        <v>5</v>
      </c>
      <c r="C98">
        <f t="shared" si="6"/>
        <v>2017</v>
      </c>
      <c r="D98">
        <f t="shared" si="4"/>
        <v>2238</v>
      </c>
      <c r="E98" s="31">
        <v>42769</v>
      </c>
      <c r="F98" s="74">
        <f t="shared" si="7"/>
        <v>2238</v>
      </c>
      <c r="H98" s="127">
        <f>(0.15*200)+(0.25*200)+(0.6*100)+(0.12*500)+(6.69*100)+((1.02-0.83)*300)+(0.7*300)+(3.8*100)+SUM(OptionPremiumIncome_1!GR93:GU93)</f>
        <v>2042</v>
      </c>
      <c r="I98">
        <f>400*0.49</f>
        <v>196</v>
      </c>
      <c r="N98" s="190" t="s">
        <v>114</v>
      </c>
      <c r="O98" s="193">
        <f>(0.15*200)+(0.62*100)+(0.87*200)+(1.1*100)+(6*100)+(3.6*100)+((0.77-0.72)*300)</f>
        <v>1351</v>
      </c>
      <c r="P98" s="30">
        <f>AVERAGE(O$94:O98)</f>
        <v>493.28000000000003</v>
      </c>
      <c r="Q98" s="30">
        <f>AVERAGE(F$94:F98)</f>
        <v>1812</v>
      </c>
      <c r="R98" s="30">
        <f>SUM(O$94:O98)</f>
        <v>2466.4</v>
      </c>
      <c r="S98" s="30">
        <f>SUM(F$94:F98)</f>
        <v>9060</v>
      </c>
    </row>
    <row r="99" spans="2:19" x14ac:dyDescent="0.35">
      <c r="B99">
        <f t="shared" si="5"/>
        <v>6</v>
      </c>
      <c r="C99">
        <f t="shared" si="6"/>
        <v>2017</v>
      </c>
      <c r="D99">
        <f t="shared" si="4"/>
        <v>2390.9999999999991</v>
      </c>
      <c r="E99" s="31">
        <v>42776</v>
      </c>
      <c r="F99" s="74">
        <f t="shared" si="7"/>
        <v>2390.9999999999991</v>
      </c>
      <c r="H99" s="127">
        <f>(0.31*200)+(0.45*500)+(0.26*200)+(0.65*200)+((0.7-0.67)*400)+(0.15*500)+(0.3*500)+((1.14-1.04)*500)+(0.25*100)+(0.25*400)+(0.4*200)+(0.25*400)+(1.57*200)+((17.7-16.8)*500)++((17.95-17.2)*500)+(0.46*200)+(0.2*300)+SUM(OptionPremiumIncome_1!GG93:GH93)</f>
        <v>2390.9999999999991</v>
      </c>
      <c r="O99" s="5">
        <f>(0.31*200)+(0.45*500)+(0.65*200)+(0.25*500)+((1.57-1.22)*300)+((1.54-1.29)*700)+((1.1-0.85)*500)+(0.4*100)+(1.57*200)+((17.7-15.75)*300)+OptionPremiumIncome_1!GF93-(0.01*1000)+(0.17*500)</f>
        <v>2020.9999999999998</v>
      </c>
      <c r="P99" s="30">
        <f>AVERAGE(O$94:O99)</f>
        <v>747.9</v>
      </c>
      <c r="Q99" s="30">
        <f>AVERAGE(F$94:F99)</f>
        <v>1908.5</v>
      </c>
      <c r="R99" s="30">
        <f>SUM(O$94:O99)</f>
        <v>4487.3999999999996</v>
      </c>
      <c r="S99" s="30">
        <f>SUM(F$94:F99)</f>
        <v>11451</v>
      </c>
    </row>
    <row r="100" spans="2:19" x14ac:dyDescent="0.35">
      <c r="B100">
        <f t="shared" si="5"/>
        <v>7</v>
      </c>
      <c r="C100">
        <f t="shared" si="6"/>
        <v>2017</v>
      </c>
      <c r="D100">
        <f t="shared" si="4"/>
        <v>1496.1</v>
      </c>
      <c r="E100" s="31">
        <v>42783</v>
      </c>
      <c r="F100" s="74">
        <f t="shared" si="7"/>
        <v>1496.1</v>
      </c>
      <c r="H100" s="127">
        <f>(0.15*400)+(0.3*500)+(0.58*300)+((0.4-0.3)*500)+(0.3*500)-17</f>
        <v>567</v>
      </c>
      <c r="I100">
        <f>1630*0.57</f>
        <v>929.09999999999991</v>
      </c>
      <c r="N100" s="190" t="s">
        <v>115</v>
      </c>
      <c r="O100" s="5">
        <f>(0.57*300)+(0.25*1000)+(0.35*700)+(0.3*500)+(0.1*500)+(0.58*300)+(0.3*500)</f>
        <v>1190</v>
      </c>
      <c r="P100" s="30">
        <f>AVERAGE(O$94:O100)</f>
        <v>811.05714285714282</v>
      </c>
      <c r="Q100" s="30">
        <f>AVERAGE(F$94:F100)</f>
        <v>1849.5857142857144</v>
      </c>
      <c r="R100" s="30">
        <f>SUM(O$94:O100)</f>
        <v>5677.4</v>
      </c>
      <c r="S100" s="30">
        <f>SUM(F$94:F100)</f>
        <v>12947.1</v>
      </c>
    </row>
    <row r="101" spans="2:19" x14ac:dyDescent="0.35">
      <c r="B101">
        <f t="shared" si="5"/>
        <v>8</v>
      </c>
      <c r="C101">
        <f t="shared" si="6"/>
        <v>2017</v>
      </c>
      <c r="D101">
        <f t="shared" si="4"/>
        <v>3628</v>
      </c>
      <c r="E101" s="31">
        <v>42790</v>
      </c>
      <c r="F101" s="74">
        <f t="shared" si="7"/>
        <v>3628</v>
      </c>
      <c r="H101" s="127">
        <f>(0.25*500)+(0.27*600)+(1.2*200)+(0.25*200)+(0.4*200)+(0.54*4500)+((0.34-0.25)*400)+((0.78-0.76)*500)+(2*100)+((7.25-6.65)*200)</f>
        <v>3453</v>
      </c>
      <c r="I101">
        <f>0.25*700</f>
        <v>175</v>
      </c>
      <c r="N101" s="190" t="s">
        <v>186</v>
      </c>
      <c r="O101" s="5">
        <f>0.25*700+(0.25*500)+(0.27*600)+(1.22*200)+(0.25*200)+(0.45*300)+(0.13*500)+(2*100)+SUM(OptionPremiumIncome_1!FZ93:GB93)</f>
        <v>2021</v>
      </c>
      <c r="P101" s="30">
        <f>AVERAGE(O$94:O101)</f>
        <v>962.3</v>
      </c>
      <c r="Q101" s="30">
        <f>AVERAGE(F$94:F101)</f>
        <v>2071.8874999999998</v>
      </c>
      <c r="R101" s="30">
        <f>SUM(O$94:O101)</f>
        <v>7698.4</v>
      </c>
      <c r="S101" s="30">
        <f>SUM(F$94:F101)</f>
        <v>16575.099999999999</v>
      </c>
    </row>
    <row r="102" spans="2:19" x14ac:dyDescent="0.35">
      <c r="B102">
        <f t="shared" si="5"/>
        <v>9</v>
      </c>
      <c r="C102">
        <f t="shared" si="6"/>
        <v>2017</v>
      </c>
      <c r="D102">
        <f t="shared" si="4"/>
        <v>1411</v>
      </c>
      <c r="E102" s="31">
        <v>42797</v>
      </c>
      <c r="F102" s="74">
        <f t="shared" si="7"/>
        <v>1411</v>
      </c>
      <c r="H102" s="127">
        <f>(0.45*300)+(0.42*200)+(0.35*100)+(1.35*100)+(0.3*500)+(0.55*200+0.45*100)+(0.55*200)-17+(2*100)+(0.3*500)+(0.3*200)+((13.03-12.95)*400)+((0.93-0.6)*200)+((6.25-6.35)*100)+((0.15-0.05)*500)</f>
        <v>1335</v>
      </c>
      <c r="I102">
        <f>0.38*200</f>
        <v>76</v>
      </c>
      <c r="N102" s="190" t="s">
        <v>387</v>
      </c>
      <c r="O102" s="5">
        <f>(0.45*200)+(0.42*200)+(0.35*100)+(0.3*500)+(0.55*300)+(1.4*100)+(0.4*200)+(0.32*200)-17+(2*100)+(0.3*500)+(0.3*200)+((6.25-6.35)*100)+((0.24-0.22)*300)+(0.38*200)</f>
        <v>1273</v>
      </c>
      <c r="P102" s="30">
        <f>AVERAGE(O$94:O102)</f>
        <v>996.82222222222219</v>
      </c>
      <c r="Q102" s="30">
        <f>AVERAGE(F$94:F102)</f>
        <v>1998.4555555555553</v>
      </c>
      <c r="R102" s="30">
        <f>SUM(O$94:O102)</f>
        <v>8971.4</v>
      </c>
      <c r="S102" s="30">
        <f>SUM(F$94:F102)</f>
        <v>17986.099999999999</v>
      </c>
    </row>
    <row r="103" spans="2:19" x14ac:dyDescent="0.35">
      <c r="B103">
        <f t="shared" si="5"/>
        <v>10</v>
      </c>
      <c r="C103">
        <f t="shared" si="6"/>
        <v>2017</v>
      </c>
      <c r="D103">
        <f t="shared" si="4"/>
        <v>809</v>
      </c>
      <c r="E103" s="31">
        <v>42804</v>
      </c>
      <c r="F103" s="74">
        <f t="shared" si="7"/>
        <v>809</v>
      </c>
      <c r="H103" s="127">
        <f>(0.8*300)+(0.5*100)+(0.37*500)+(0.3*500)+((0.15-0.17)*500)+((0.63-0.49)*600)+((3.71-3.4)*200)+((1.26-1.16)*100)-17+(0.55*100)</f>
        <v>809</v>
      </c>
      <c r="O103" s="5">
        <f>(0.57*500)+(0.3*500)+(1.4*100)+((0.48-0.37)*500)+((0.47-0.46)*600)+(1.2*100)+((2.65-2.35)*100)-17+(0.4*100)</f>
        <v>809</v>
      </c>
      <c r="P103" s="30">
        <f>AVERAGE(O$94:O103)</f>
        <v>978.04</v>
      </c>
      <c r="Q103" s="30">
        <f>AVERAGE(F$94:F103)</f>
        <v>1879.5099999999998</v>
      </c>
      <c r="R103" s="30">
        <f>SUM(O$94:O103)</f>
        <v>9780.4</v>
      </c>
      <c r="S103" s="30">
        <f>SUM(F$94:F103)</f>
        <v>18795.099999999999</v>
      </c>
    </row>
    <row r="104" spans="2:19" x14ac:dyDescent="0.35">
      <c r="B104">
        <f t="shared" si="5"/>
        <v>11</v>
      </c>
      <c r="C104">
        <f t="shared" si="6"/>
        <v>2017</v>
      </c>
      <c r="D104">
        <f t="shared" si="4"/>
        <v>1191.9999999999995</v>
      </c>
      <c r="E104" s="31">
        <v>42811</v>
      </c>
      <c r="F104" s="74">
        <f t="shared" si="7"/>
        <v>1191.9999999999995</v>
      </c>
      <c r="H104" s="127">
        <f>(0.05*300)-17+(0.3*200)-17+SUM(OptionPremiumIncome_1!FK93:FO93)</f>
        <v>1137.9999999999995</v>
      </c>
      <c r="I104">
        <f>100*0.54</f>
        <v>54</v>
      </c>
      <c r="N104" s="190" t="s">
        <v>361</v>
      </c>
      <c r="O104" s="5">
        <f>(300*0.54)-17+((1.91-1.54)*200)+((0.85-0.65)*500)+(0.47*500)</f>
        <v>554</v>
      </c>
      <c r="P104" s="30">
        <f>AVERAGE(O$94:O104)</f>
        <v>939.4909090909091</v>
      </c>
      <c r="Q104" s="30">
        <f>AVERAGE(F$94:F104)</f>
        <v>1817.0090909090907</v>
      </c>
      <c r="R104" s="30">
        <f>SUM(O$94:O104)</f>
        <v>10334.4</v>
      </c>
      <c r="S104" s="30">
        <f>SUM(F$94:F104)</f>
        <v>19987.099999999999</v>
      </c>
    </row>
    <row r="105" spans="2:19" x14ac:dyDescent="0.35">
      <c r="B105">
        <f t="shared" si="5"/>
        <v>12</v>
      </c>
      <c r="C105">
        <f t="shared" si="6"/>
        <v>2017</v>
      </c>
      <c r="D105">
        <f t="shared" si="4"/>
        <v>2403</v>
      </c>
      <c r="E105" s="31">
        <v>42818</v>
      </c>
      <c r="F105" s="74">
        <f t="shared" si="7"/>
        <v>2403</v>
      </c>
      <c r="H105" s="127">
        <f>(0.3*500)+(0.16*400)+(0.17*100)+(0.2*200)+(0.26*400)+(0.24*500)+(0.4*200)+(0.62*200)+(0.25*500)+(0.15*500)+(0.4*300)+(0.4*500)+(5.2*100)+(0.55*200)+(1*200)+((15.5-11.96)*100)</f>
        <v>2403</v>
      </c>
      <c r="O105" s="5">
        <f>(0.48*700)+(0.16*200)+(0.16*100)+(0.37*500)+(0.22*500)+(1.6*100)+(0.23*200)+(0.6*200)+((0.8-0.65)*100)+(0.25*300)+(1.5*100)+(0.47*300)+(0.25*500)+(-3.4*500+5.1*400)+(5.2*100)+(0.27*500)+(0.6*100)+(1*300)+((18-12.68)*100)+((0.44-0.42)*600)</f>
        <v>3410</v>
      </c>
      <c r="P105" s="30">
        <f>AVERAGE(O$94:O105)</f>
        <v>1145.3666666666666</v>
      </c>
      <c r="Q105" s="30">
        <f>AVERAGE(F$94:F105)</f>
        <v>1865.8416666666665</v>
      </c>
      <c r="R105" s="30">
        <f>SUM(O$94:O105)</f>
        <v>13744.4</v>
      </c>
      <c r="S105" s="30">
        <f>SUM(F$94:F105)</f>
        <v>22390.1</v>
      </c>
    </row>
    <row r="106" spans="2:19" x14ac:dyDescent="0.35">
      <c r="B106">
        <f t="shared" si="5"/>
        <v>13</v>
      </c>
      <c r="C106">
        <f t="shared" si="6"/>
        <v>2017</v>
      </c>
      <c r="D106">
        <f t="shared" si="4"/>
        <v>814.99999999999977</v>
      </c>
      <c r="E106" s="31">
        <v>42825</v>
      </c>
      <c r="F106" s="74">
        <f t="shared" si="7"/>
        <v>814.99999999999977</v>
      </c>
      <c r="H106" s="127">
        <f>((0.94-0.51)*500)+(0.35*100)+(0.1*500)+(0.4*100)+(0.33*200)+SUM(OptionPremiumIncome_1!FB93:FD93)</f>
        <v>814.99999999999977</v>
      </c>
      <c r="O106" s="5">
        <f>(0.35*100)+(0.33*200)+(0.4*100)+SUM(OptionPremiumIncome_1!FE93:FF93)</f>
        <v>415.00000000000006</v>
      </c>
      <c r="P106" s="30">
        <f>AVERAGE(O$94:O106)</f>
        <v>1089.1846153846154</v>
      </c>
      <c r="Q106" s="30">
        <f>AVERAGE(F$94:F106)</f>
        <v>1785.0076923076922</v>
      </c>
      <c r="R106" s="30">
        <f>SUM(O$94:O106)</f>
        <v>14159.4</v>
      </c>
      <c r="S106" s="30">
        <f>SUM(F$94:F106)</f>
        <v>23205.1</v>
      </c>
    </row>
    <row r="107" spans="2:19" x14ac:dyDescent="0.35">
      <c r="B107">
        <f t="shared" si="5"/>
        <v>14</v>
      </c>
      <c r="C107">
        <f t="shared" si="6"/>
        <v>2017</v>
      </c>
      <c r="D107">
        <f t="shared" si="4"/>
        <v>952</v>
      </c>
      <c r="E107" s="31">
        <v>42832</v>
      </c>
      <c r="F107" s="74">
        <f t="shared" si="7"/>
        <v>952</v>
      </c>
      <c r="H107" s="127">
        <f>(0.15*400)+(0.25*500)+(1.35*100)+(1.04*100)+(0.15*400)+(0.95*100)+(0.3*400)-7+(1.5*100)+((0.62-0.4)*500)</f>
        <v>952</v>
      </c>
      <c r="O107" s="209">
        <f>(0.15*200)+(0.25*500)+(1.35*100)+(0.3*1000)+(0.98*100)+(0.2*600)-(0.71*500)+(5*100)+((0.84-0.33)*200)+(1.31*100)+((0.84-0.83)*300)-7</f>
        <v>1182</v>
      </c>
      <c r="P107" s="30">
        <f>AVERAGE(O$94:O107)</f>
        <v>1095.8142857142857</v>
      </c>
      <c r="Q107" s="30">
        <f>AVERAGE(F$94:F107)</f>
        <v>1725.5071428571428</v>
      </c>
      <c r="R107" s="30">
        <f>SUM(O$94:O107)</f>
        <v>15341.4</v>
      </c>
      <c r="S107" s="30">
        <f>SUM(F$94:F107)</f>
        <v>24157.1</v>
      </c>
    </row>
    <row r="108" spans="2:19" x14ac:dyDescent="0.35">
      <c r="B108">
        <f t="shared" si="5"/>
        <v>15</v>
      </c>
      <c r="C108">
        <f t="shared" si="6"/>
        <v>2017</v>
      </c>
      <c r="D108">
        <f t="shared" si="4"/>
        <v>1708.0000000000002</v>
      </c>
      <c r="E108" s="31">
        <v>42839</v>
      </c>
      <c r="F108" s="74">
        <f t="shared" si="7"/>
        <v>1708.0000000000002</v>
      </c>
      <c r="H108" s="127">
        <f>(0.2*100)+(0.2*400)+(0.4*200)+(1.21*100)+(0.3*100)+(0.2*500)+((3.2-3)*400)-(9.62*100)+(11.6*100)+((0.82-0.63)*400)+((0.78-0.42)*500)+(1.67*100)+(1.3*100)+(0.5*500)+((4.2-3.75)*100)+((2.87-2.25)*100)+((0.77-0.5)*100)+((2.02-1.4)*100)</f>
        <v>1708.0000000000002</v>
      </c>
      <c r="O108" s="5">
        <f>(0.2*200)+(0.54*500)+(1.22*100)+(0.6*100)+(0.2*100)+(0.15*300)+(0.4*200)-(0.86*700)+(7*100)-(9.65*100)+(11.7*100)+((0.82-0.62)*200)+((0.91-0.61)*300)+((4.35-3.95)*100)+((2.75-2.25)*100)+(1.36*100)+((0.8-0.5)*100)</f>
        <v>1326</v>
      </c>
      <c r="P108" s="30">
        <f>AVERAGE(O$94:O108)</f>
        <v>1111.1600000000001</v>
      </c>
      <c r="Q108" s="30">
        <f>AVERAGE(F$94:F108)</f>
        <v>1724.34</v>
      </c>
      <c r="R108" s="30">
        <f>SUM(O$94:O108)</f>
        <v>16667.400000000001</v>
      </c>
      <c r="S108" s="30">
        <f>SUM(F$94:F108)</f>
        <v>25865.1</v>
      </c>
    </row>
    <row r="109" spans="2:19" x14ac:dyDescent="0.35">
      <c r="B109">
        <f t="shared" si="5"/>
        <v>16</v>
      </c>
      <c r="C109">
        <f t="shared" si="6"/>
        <v>2017</v>
      </c>
      <c r="D109">
        <f t="shared" ref="D109:D118" si="8">F109</f>
        <v>3715.1105579999971</v>
      </c>
      <c r="E109" s="31">
        <v>42846</v>
      </c>
      <c r="F109" s="74">
        <f t="shared" si="7"/>
        <v>3715.1105579999971</v>
      </c>
      <c r="H109" s="127">
        <f>(0.38*500)+(0.9*200)+(0.6*100)+(0.5*200)+(0.4*200)+(0.7*100)+(0.4*200)-(4.95*100)+(5.2*100)-(1.1*100)+(2.25*100)-(1.27*200)+(2.6*100)+((3.02-2.55)*200)+((0.56-0.375)*600)+((0.58-0.32)*200)-17-17-17</f>
        <v>1112</v>
      </c>
      <c r="I109" s="5">
        <f>(8151*0.09694*0.7)</f>
        <v>553.11055799999997</v>
      </c>
      <c r="L109">
        <f>(115-110.9)*500</f>
        <v>2049.9999999999973</v>
      </c>
      <c r="N109" s="190" t="s">
        <v>353</v>
      </c>
      <c r="O109" s="5">
        <f>(0.57*500)+(0.9*200)+(0.6*100)+(0.42*200)+((0.54-0.29)*200)+(0.7*100)+(0.4*200)-(1.83*200)+(5.05*100)-(1.25*200)+(4.1*100)-(0.5*1000)+(2.9*200)+((6.2-6)*200)-(1.1*100)+(2.25*100)+((0.86-0.76)*200)-17-17-(0.07*700)-17</f>
        <v>1263</v>
      </c>
      <c r="P109" s="30">
        <f>AVERAGE(O$94:O109)</f>
        <v>1120.6500000000001</v>
      </c>
      <c r="Q109" s="30">
        <f>AVERAGE(F$94:F109)</f>
        <v>1848.7631598749997</v>
      </c>
      <c r="R109" s="30">
        <f>SUM(O$94:O109)</f>
        <v>17930.400000000001</v>
      </c>
      <c r="S109" s="30">
        <f>SUM(F$94:F109)</f>
        <v>29580.210557999995</v>
      </c>
    </row>
    <row r="110" spans="2:19" x14ac:dyDescent="0.35">
      <c r="B110">
        <f t="shared" si="5"/>
        <v>17</v>
      </c>
      <c r="C110">
        <f t="shared" si="6"/>
        <v>2017</v>
      </c>
      <c r="D110">
        <f t="shared" si="8"/>
        <v>2107</v>
      </c>
      <c r="E110" s="31">
        <v>42853</v>
      </c>
      <c r="F110" s="74">
        <f t="shared" si="7"/>
        <v>2107</v>
      </c>
      <c r="H110" s="127">
        <f>(0.32*500)+(0.26*200)-(0.02*200)+((0.04-0.02)*200)-(0.1*500)+(0.1*500)+(0.04*200)+(0.21*1000)-(0.6*100)+(3*100)+(0.22*500)+(0.9*100)+(2*100)+(1.05*500)+(0.48*200)+((0.61-0.46)*1000)+((2.4-2)*100)+((2-1)*200)+((1.12-0.99)*200)</f>
        <v>2107</v>
      </c>
      <c r="O110" s="218">
        <f>(0.31*500)+(0.26*200)+(0.7*100)+(0.95*100)+((0.12-0.1)*300)+(0.1*100)-(0.8*100)+(3*100)+(0.8*100)+(0.22*500)-(0.01*100)+(0.25*500)+(2.15*100)-(0.01*100)+(1.05*500)+(0.48*200)+((1.12-0.99)*200)+((2.01-2)*200)+((2.6-2.05)*200)+((1.85-0.8)*100)</f>
        <v>2000</v>
      </c>
      <c r="P110" s="30">
        <f>AVERAGE(O$94:O110)</f>
        <v>1172.3764705882354</v>
      </c>
      <c r="Q110" s="30">
        <f>AVERAGE(F$94:F110)</f>
        <v>1863.9535622352939</v>
      </c>
      <c r="R110" s="30">
        <f>SUM(O$94:O110)</f>
        <v>19930.400000000001</v>
      </c>
      <c r="S110" s="30">
        <f>SUM(F$94:F110)</f>
        <v>31687.210557999995</v>
      </c>
    </row>
    <row r="111" spans="2:19" x14ac:dyDescent="0.35">
      <c r="B111">
        <f t="shared" ref="B111:B118" si="9">WEEKNUM(E111)</f>
        <v>18</v>
      </c>
      <c r="C111">
        <f t="shared" ref="C111:C118" si="10">YEAR(E111)</f>
        <v>2017</v>
      </c>
      <c r="D111">
        <f t="shared" si="8"/>
        <v>-113.5</v>
      </c>
      <c r="E111" s="31">
        <v>42860</v>
      </c>
      <c r="F111" s="74">
        <f t="shared" si="7"/>
        <v>-113.5</v>
      </c>
      <c r="H111" s="127">
        <f>(0.25*500)+(0.98*500)+((2.63-2.58)*500)+(2.78*200)+(0.11*200)+(1.45*100)-17+(0.6*200)+((2.45-2.35)*200)+((1.23-1.39)*400)+(0.21*400)+(0.52*300)+(1.04*300)+(0.23*200)</f>
        <v>2020</v>
      </c>
      <c r="I111">
        <f>(400*0.49)+(200*0.5775)</f>
        <v>311.5</v>
      </c>
      <c r="K111">
        <f>-(37.5*100)+(11.05*100)</f>
        <v>-2645</v>
      </c>
      <c r="L111">
        <f>+(46-45)*200</f>
        <v>200</v>
      </c>
      <c r="N111" s="190" t="s">
        <v>417</v>
      </c>
      <c r="O111" s="5">
        <f>(0.51*1000)+(0.98*500)+(2.8*200)-17+(46-45)*200+(0.6*200)+((2.45-2.35)*200)+(0.25*300)+(0.15*200)+(0.53*300)+(1.03*300)+(0.23*200)+(0.62*500)</f>
        <v>2812</v>
      </c>
      <c r="P111" s="30">
        <f>AVERAGE(O$94:O111)</f>
        <v>1263.4666666666667</v>
      </c>
      <c r="Q111" s="30">
        <f>AVERAGE(F$94:F111)</f>
        <v>1754.0950309999998</v>
      </c>
      <c r="R111" s="30">
        <f>SUM(O$94:O111)</f>
        <v>22742.400000000001</v>
      </c>
      <c r="S111" s="30">
        <f>SUM(F$94:F111)</f>
        <v>31573.710557999995</v>
      </c>
    </row>
    <row r="112" spans="2:19" x14ac:dyDescent="0.35">
      <c r="B112">
        <f t="shared" si="9"/>
        <v>19</v>
      </c>
      <c r="C112">
        <f t="shared" si="10"/>
        <v>2017</v>
      </c>
      <c r="D112">
        <f t="shared" si="8"/>
        <v>3208</v>
      </c>
      <c r="E112" s="31">
        <v>42867</v>
      </c>
      <c r="F112" s="74">
        <f t="shared" si="7"/>
        <v>3208</v>
      </c>
      <c r="H112" s="127">
        <f>(0.13*1000)+(1.95*200)+(1.64*200)+(0.5*100)+(1.2*200)+(1.7*100)+(0.4*500)+(0.25*400)+(0.15*500)+(0.36*500)-(4.2*500)-(3.75*500)-(2.75*500)+(14.85*400)-(0.85*200)+(0.95*200)-(1.14*200)+(1.31*200)-(0.19*200)+(0.58*200)+(3.2*200)-17</f>
        <v>3208</v>
      </c>
      <c r="O112" s="5">
        <f>(1.2*300)+(0.5*100)+(0.45*200)+(0.44*500)+(0.25*400)+(0.15*500)+(0.36*500)-(4.3*500)-(3.85*500)-(3.3*500)-(2.8*500)+(14.7*500)-(0.54*600)+(0.7*600)-(0.8*500)+(0.9*500)-(1.15*200)+(1.25*200)-(2.17*200)+(2.29*200)-(0.2*200)+(0.57*200)</f>
        <v>1564</v>
      </c>
      <c r="P112" s="30">
        <f>AVERAGE(O$94:O112)</f>
        <v>1279.284210526316</v>
      </c>
      <c r="Q112" s="30">
        <f>AVERAGE(F$94:F112)</f>
        <v>1830.6163451578943</v>
      </c>
      <c r="R112" s="30">
        <f>SUM(O$94:O112)</f>
        <v>24306.400000000001</v>
      </c>
      <c r="S112" s="30">
        <f>SUM(F$94:F112)</f>
        <v>34781.710557999992</v>
      </c>
    </row>
    <row r="113" spans="2:19" x14ac:dyDescent="0.35">
      <c r="B113">
        <f t="shared" si="9"/>
        <v>20</v>
      </c>
      <c r="C113">
        <f t="shared" si="10"/>
        <v>2017</v>
      </c>
      <c r="D113">
        <f t="shared" si="8"/>
        <v>3784.9</v>
      </c>
      <c r="E113" s="31">
        <v>42874</v>
      </c>
      <c r="F113" s="74">
        <f t="shared" si="7"/>
        <v>3784.9</v>
      </c>
      <c r="H113" s="127">
        <f>(0.27*200)+(0.18*1000)-(0.01*1000)+(7.9*100)+(0.15*500)+(0.64*100)+(1.2*100)+(0.5*100)-(1.04*100)+(1.18*100)+(2.37*100)+(2.65*300)+(0.54*200)+(1.15*100)+(0.24*200)+(0.4*100)+(0.86*100)-(12.9*200)+(12.6*100)+(13.5*100)+(0.28*300)-17+(2.05*100)-(1.74*100)+(1.79*100)</f>
        <v>3073</v>
      </c>
      <c r="I113">
        <f>1130*0.63</f>
        <v>711.9</v>
      </c>
      <c r="N113" s="190" t="s">
        <v>115</v>
      </c>
      <c r="O113" s="5">
        <f>+(0.63*300)+(0.3-0.09)*600+(0.62*100)+(0.16*300)+(0.6*100)+(0.5*100)+(1*200)+(2.34*100)+(0.54*200)+(1.1*100)+(1.05*100)-(1.04*1000)+(1.06*1000)+(2.01*100)</f>
        <v>1513</v>
      </c>
      <c r="P113" s="30">
        <f>AVERAGE(O$94:O113)</f>
        <v>1290.97</v>
      </c>
      <c r="Q113" s="30">
        <f>AVERAGE(F$94:F113)</f>
        <v>1928.3305278999997</v>
      </c>
      <c r="R113" s="30">
        <f>SUM(O$94:O113)</f>
        <v>25819.4</v>
      </c>
      <c r="S113" s="30">
        <f>SUM(F$94:F113)</f>
        <v>38566.610557999993</v>
      </c>
    </row>
    <row r="114" spans="2:19" x14ac:dyDescent="0.35">
      <c r="B114">
        <f t="shared" si="9"/>
        <v>21</v>
      </c>
      <c r="C114">
        <f t="shared" si="10"/>
        <v>2017</v>
      </c>
      <c r="D114">
        <f t="shared" si="8"/>
        <v>1710</v>
      </c>
      <c r="E114" s="31">
        <v>42881</v>
      </c>
      <c r="F114" s="74">
        <f t="shared" si="7"/>
        <v>1710</v>
      </c>
      <c r="H114" s="127">
        <f>+(1.1*200)+(0.32*1800)+(0.4*200)+(0.2*400)+(0.92*200)+(0.49*300)-(0.02*1000)-(3.38*100)-(0.8*200)+(5.4*100)-(2.75*100)+(1.36*200)-17+(0.17*300)-(1.1*100)+(2.45*100)-(0.67*100)+(1.17*100)-(0.7*200)+(0.74*200)-(0.66*200)+(0.92*200)</f>
        <v>1585</v>
      </c>
      <c r="I114">
        <f>(500*0.25)</f>
        <v>125</v>
      </c>
      <c r="N114" s="190" t="s">
        <v>186</v>
      </c>
      <c r="O114" s="5">
        <f>+(1.1*200)+(0.2*400)+(0.92*200)+(0.47*200)-(3.18*200)+(6.2*100)+(2.25*100)-17+(0.17*300)-(0.01*300)+(0.14*300)-(0.76*100)+(1.65*100)-(0.7*200)+(0.74*200)-(0.66*200)+(0.92*200)</f>
        <v>1009</v>
      </c>
      <c r="P114" s="30">
        <f>AVERAGE(O$94:O114)</f>
        <v>1277.5428571428572</v>
      </c>
      <c r="Q114" s="30">
        <f>AVERAGE(F$94:F114)</f>
        <v>1917.9338360952377</v>
      </c>
      <c r="R114" s="30">
        <f>SUM(O$94:O114)</f>
        <v>26828.400000000001</v>
      </c>
      <c r="S114" s="30">
        <f>SUM(F$94:F114)</f>
        <v>40276.610557999993</v>
      </c>
    </row>
    <row r="115" spans="2:19" x14ac:dyDescent="0.35">
      <c r="B115">
        <f t="shared" si="9"/>
        <v>22</v>
      </c>
      <c r="C115">
        <f t="shared" si="10"/>
        <v>2017</v>
      </c>
      <c r="D115">
        <f t="shared" si="8"/>
        <v>1626</v>
      </c>
      <c r="E115" s="31">
        <v>42888</v>
      </c>
      <c r="F115" s="74">
        <f t="shared" si="7"/>
        <v>1626</v>
      </c>
      <c r="H115" s="127">
        <f>(0.2*400)-(4.9*100)+(1.07*500)+(1*200)+(3*100)+(0.32*500)+(0.55*100)+(0.6*500)-(1.8*100)+(1.98*100)-(1.25*100)+(1.87*100)-(13.1*100)+(16.2*100)+(0.6*100)</f>
        <v>1590</v>
      </c>
      <c r="I115">
        <f>0.12*300</f>
        <v>36</v>
      </c>
      <c r="N115" s="190" t="s">
        <v>418</v>
      </c>
      <c r="O115" s="5">
        <f>+(0.12*300)+(0.2*200)-(0.04*100)+(0.59*100)-(5.7*100)+(1.06*500)+(1.04*100-4)+(1*200-4)-4+(3*100-4)+(0.31*400-4)+(0.35*100-4)+(0.6*500-4)-(1.35*100+4)+(1.85*100-4)+(-13.2*100-4)+(16.2*100-4)</f>
        <v>1460</v>
      </c>
      <c r="P115" s="30">
        <f>AVERAGE(O$94:O115)</f>
        <v>1285.8363636363638</v>
      </c>
      <c r="Q115" s="30">
        <f>AVERAGE(F$94:F115)</f>
        <v>1904.6641162727269</v>
      </c>
      <c r="R115" s="30">
        <f>SUM(O$94:O115)</f>
        <v>28288.400000000001</v>
      </c>
      <c r="S115" s="30">
        <f>SUM(F$94:F115)</f>
        <v>41902.610557999993</v>
      </c>
    </row>
    <row r="116" spans="2:19" x14ac:dyDescent="0.35">
      <c r="B116">
        <f t="shared" si="9"/>
        <v>23</v>
      </c>
      <c r="C116">
        <f t="shared" si="10"/>
        <v>2017</v>
      </c>
      <c r="D116">
        <f t="shared" si="8"/>
        <v>2662</v>
      </c>
      <c r="E116" s="31">
        <v>42895</v>
      </c>
      <c r="F116" s="74">
        <f t="shared" si="7"/>
        <v>2662</v>
      </c>
      <c r="H116" s="127">
        <f>(0.5*500)+(0.8*100)+(0.3*500)+(0.6*100)-(0.5*500)+(0.54*500)+(3*500)+(0.7*100)+(-24.7*400)+(25.5*400)+(0.16*500)+(0.55*100-4)+(0.85*100-4)</f>
        <v>2662</v>
      </c>
      <c r="O116" s="5">
        <f>(0.55*500-4)+(0.55*100-4)+(0.65*100-4)+(0.32*500-4)+(0.6*100-4)+(3.1*500-4)+(-0.08*1000-4)+(0.33*1000-4)+(1.8*100-4)</f>
        <v>2559</v>
      </c>
      <c r="P116" s="30">
        <f>AVERAGE(O$94:O116)</f>
        <v>1341.1913043478262</v>
      </c>
      <c r="Q116" s="30">
        <f>AVERAGE(F$94:F116)</f>
        <v>1937.5917633913041</v>
      </c>
      <c r="R116" s="30">
        <f>SUM(O$94:O116)</f>
        <v>30847.4</v>
      </c>
      <c r="S116" s="30">
        <f>SUM(F$94:F116)</f>
        <v>44564.610557999993</v>
      </c>
    </row>
    <row r="117" spans="2:19" x14ac:dyDescent="0.35">
      <c r="B117">
        <f t="shared" si="9"/>
        <v>24</v>
      </c>
      <c r="C117">
        <f t="shared" si="10"/>
        <v>2017</v>
      </c>
      <c r="D117">
        <f t="shared" si="8"/>
        <v>1686</v>
      </c>
      <c r="E117" s="31">
        <v>42902</v>
      </c>
      <c r="F117" s="74">
        <f t="shared" si="7"/>
        <v>1686</v>
      </c>
      <c r="H117" s="127">
        <f>(0.7*100-4)+(0.26*400)+(0.2*500)+(-0.1*500)+(0.19*500-4)-(0.02*1800)+(0.06*1800-4)+(0.86*500-4)+(-0.07*200-4)+(-1.49*100-4)+(1.77*100-4)+(-2.65*100-4)+(3.2*100-4)+(-1.02*200-4)+(1.37*200-4)+(-2.45*500-4)+(3*500-4)+(-8*100-4)+(8.3*100-4)+(-2.94*100-4)+(3.04*100-4)+(-0.62*500-4)+(0.76*500-4)+(2.05*100-4)</f>
        <v>1470</v>
      </c>
      <c r="I117">
        <f>(0.54*400)</f>
        <v>216</v>
      </c>
      <c r="N117" s="190" t="s">
        <v>361</v>
      </c>
      <c r="O117" s="5">
        <f>(0.54*600)+(0.75*100-4)+(0.15*300-4)+(0.2*200-4)+(0.25*500-4)+(0.85*500-4)+(-0.02*1000-4)+(0.55*1000-4)+(-0.07*300-4)+(-3.6*100-4)+(3.9*100-4)+(-0.99*200-4)+(1.37*200-4)+(-2.4*500-4)+(3*500-4)+(-1.98*100-4)+(3.1*100-4)+(-7.97*100-4)+(8.3*100-4)+(-1.48*200-4)+(2.06*100-4)+(-0.64*300-4)+(0.76*300-4)+(2.05*100-4)</f>
        <v>2153</v>
      </c>
      <c r="P117" s="30">
        <f>AVERAGE(O$94:O117)</f>
        <v>1375.0166666666667</v>
      </c>
      <c r="Q117" s="30">
        <f>AVERAGE(F$94:F117)</f>
        <v>1927.1087732499998</v>
      </c>
      <c r="R117" s="30">
        <f>SUM(O$94:O117)</f>
        <v>33000.400000000001</v>
      </c>
      <c r="S117" s="30">
        <f>SUM(F$94:F117)</f>
        <v>46250.610557999993</v>
      </c>
    </row>
    <row r="118" spans="2:19" x14ac:dyDescent="0.35">
      <c r="B118">
        <f t="shared" si="9"/>
        <v>25</v>
      </c>
      <c r="C118">
        <f t="shared" si="10"/>
        <v>2017</v>
      </c>
      <c r="D118">
        <f t="shared" si="8"/>
        <v>605</v>
      </c>
      <c r="E118" s="31">
        <v>42909</v>
      </c>
      <c r="F118" s="74">
        <f t="shared" si="7"/>
        <v>605</v>
      </c>
      <c r="H118" s="127">
        <f>(0.75*100-4)+(1.05*100-4)-17+(-8.49*200-4)+(8.6*200-4)+(0.15*200-4)+(0.69*600-4)</f>
        <v>605</v>
      </c>
      <c r="I118" s="5"/>
      <c r="O118" s="5">
        <f>(1.25*100-4)+(-7.47*200-4)+(7.75*200-4)+(3.25*100-4)+(0.7*300-4)+(2.42*200-4)</f>
        <v>1176</v>
      </c>
      <c r="P118" s="30">
        <f>AVERAGE(O$94:O118)</f>
        <v>1367.056</v>
      </c>
      <c r="Q118" s="30">
        <f>AVERAGE(F$94:F118)</f>
        <v>1874.2244223199998</v>
      </c>
      <c r="R118" s="30">
        <f>SUM(O$94:O118)</f>
        <v>34176.400000000001</v>
      </c>
      <c r="S118" s="30">
        <f>SUM(F$94:F118)</f>
        <v>46855.610557999993</v>
      </c>
    </row>
    <row r="119" spans="2:19" x14ac:dyDescent="0.35">
      <c r="B119">
        <f t="shared" ref="B119:B124" si="11">WEEKNUM(E119)</f>
        <v>26</v>
      </c>
      <c r="C119">
        <f t="shared" ref="C119:C124" si="12">YEAR(E119)</f>
        <v>2017</v>
      </c>
      <c r="D119">
        <f t="shared" ref="D119:D124" si="13">F119</f>
        <v>984.99999999999875</v>
      </c>
      <c r="E119" s="31">
        <v>42916</v>
      </c>
      <c r="F119" s="74">
        <f t="shared" si="7"/>
        <v>984.99999999999875</v>
      </c>
      <c r="H119" s="127">
        <f>(0.26*500-5)+(0.2*400-4)+(0.85*100-4)-17-17+(0.48*300-4)+(0.26*500-4)+(1.7*100-4)+(1.2*100-4)+(2.05*100-4)+(0.6*500-4)</f>
        <v>1293</v>
      </c>
      <c r="L119">
        <f>(32.5-33.27)*400</f>
        <v>-308.00000000000125</v>
      </c>
      <c r="O119" s="245">
        <f>(0.26*500-5)++(0.2*200-4)+(1.3*100-4)+(0.47*200-4)+(1.75*100-4)+(1.2*100-4)+(3.05*200-4)+(0.6*500-4)+(1.1*100-4)</f>
        <v>1672</v>
      </c>
      <c r="P119" s="30">
        <f>AVERAGE(O$94:O119)</f>
        <v>1378.7846153846153</v>
      </c>
      <c r="Q119" s="30">
        <f>AVERAGE(F$94:F119)</f>
        <v>1840.0234829999997</v>
      </c>
      <c r="R119" s="30">
        <f>SUM(O$94:O119)</f>
        <v>35848.400000000001</v>
      </c>
      <c r="S119" s="30">
        <f>SUM(F$94:F119)</f>
        <v>47840.610557999993</v>
      </c>
    </row>
    <row r="120" spans="2:19" x14ac:dyDescent="0.35">
      <c r="B120">
        <f t="shared" si="11"/>
        <v>27</v>
      </c>
      <c r="C120">
        <f t="shared" si="12"/>
        <v>2017</v>
      </c>
      <c r="D120">
        <f t="shared" si="13"/>
        <v>626</v>
      </c>
      <c r="E120" s="31">
        <v>42923</v>
      </c>
      <c r="F120" s="74">
        <f t="shared" si="7"/>
        <v>626</v>
      </c>
      <c r="H120" s="127">
        <f>(-0.04*500-4)+(0.25*500-4)+(-0.25*100-4)+(0.9*100-4)+(0.28*500-4)-17+(-1.01*300)+(1.13*300)+(-0.73*100)+(1.42*100)+(-1.51*1000)+(1.61*1000)+(-0.01*400)+(0.38*400)</f>
        <v>626</v>
      </c>
      <c r="O120" s="5">
        <f>(-0.05*500-4)+(0.24*500-4)+(0.15*500-4)-17+(-1.01*200)+(1.13*200)+(-0.01*200)+(0.38*200)</f>
        <v>238.99999999999997</v>
      </c>
      <c r="P120" s="30">
        <f>AVERAGE(O$94:O120)</f>
        <v>1336.5703703703705</v>
      </c>
      <c r="Q120" s="30">
        <f>AVERAGE(F$94:F120)</f>
        <v>1795.059650296296</v>
      </c>
      <c r="R120" s="30">
        <f>SUM(O$94:O120)</f>
        <v>36087.4</v>
      </c>
      <c r="S120" s="30">
        <f>SUM(F$94:F120)</f>
        <v>48466.610557999993</v>
      </c>
    </row>
    <row r="121" spans="2:19" x14ac:dyDescent="0.35">
      <c r="B121">
        <f t="shared" si="11"/>
        <v>28</v>
      </c>
      <c r="C121">
        <f t="shared" si="12"/>
        <v>2017</v>
      </c>
      <c r="D121">
        <f t="shared" si="13"/>
        <v>660</v>
      </c>
      <c r="E121" s="31">
        <v>42930</v>
      </c>
      <c r="F121" s="74">
        <f t="shared" si="7"/>
        <v>660</v>
      </c>
      <c r="H121" s="127">
        <f>(0.2*400)+(0.37*200)+(0.16*300)+(0.25*400)+(0.23*500)-17+(-4.68*500)+(5*500)+(1*100)</f>
        <v>660</v>
      </c>
      <c r="O121" s="5">
        <f>(0.2*400)+(0.25*200)+(-4.7*500)+(5*500)+(-0.53*100)+(1.2*100)</f>
        <v>347</v>
      </c>
      <c r="P121" s="30">
        <f>AVERAGE(O$94:O121)</f>
        <v>1301.2285714285715</v>
      </c>
      <c r="Q121" s="30">
        <f>AVERAGE(F$94:F121)</f>
        <v>1754.5218056428569</v>
      </c>
      <c r="R121" s="30">
        <f>SUM(O$94:O121)</f>
        <v>36434.400000000001</v>
      </c>
      <c r="S121" s="30">
        <f>SUM(F$94:F121)</f>
        <v>49126.610557999993</v>
      </c>
    </row>
    <row r="122" spans="2:19" x14ac:dyDescent="0.35">
      <c r="B122">
        <f t="shared" si="11"/>
        <v>29</v>
      </c>
      <c r="C122">
        <f t="shared" si="12"/>
        <v>2017</v>
      </c>
      <c r="D122">
        <f t="shared" si="13"/>
        <v>1135.9999999999993</v>
      </c>
      <c r="E122" s="31">
        <v>42937</v>
      </c>
      <c r="F122" s="74">
        <f t="shared" si="7"/>
        <v>1135.9999999999993</v>
      </c>
      <c r="H122" s="127">
        <f>(1.1*100)+(0.52*100)+(-0.06*500)+(0.14*500)+(0.4*500)-17+(0.8*100)+(0.95*100)+(0.31*100)+(0.09*800)-17+(-0.57*100)+(1.19*100)+(-2.58*500)+(2.9*500)+(-0.58*400)+(0.6*400)+(-1.52*400)+(1.55*400)+(-0.28*300)+(0.44*300)</f>
        <v>936</v>
      </c>
      <c r="L122">
        <f>(16.5-16.3)*1000</f>
        <v>199.99999999999929</v>
      </c>
      <c r="O122" s="251">
        <f>(1.1*100)+(1.3*100)+(0.4*400)-17+(0.92*100)-17+(-1.18*100)+(1.46*100)+(-3.18*1000)+(3.63*1000)+(-0.31*200)+(0.46*200)+(-0.15*100)+(0.55*100)+(-1.52*200)+(1.62*200)+(-2.64*500)+(2.94*500)+(-0.62*200)+(0.63*200)+(-0.2*100)+(0.55*100)</f>
        <v>1213</v>
      </c>
      <c r="P122" s="30">
        <f>AVERAGE(O$94:O122)</f>
        <v>1298.1862068965518</v>
      </c>
      <c r="Q122" s="30">
        <f>AVERAGE(F$94:F122)</f>
        <v>1733.1934675172411</v>
      </c>
      <c r="R122" s="30">
        <f>SUM(O$94:O122)</f>
        <v>37647.4</v>
      </c>
      <c r="S122" s="30">
        <f>SUM(F$94:F122)</f>
        <v>50262.610557999993</v>
      </c>
    </row>
    <row r="123" spans="2:19" x14ac:dyDescent="0.35">
      <c r="B123">
        <f t="shared" si="11"/>
        <v>30</v>
      </c>
      <c r="C123">
        <f t="shared" si="12"/>
        <v>2017</v>
      </c>
      <c r="D123">
        <f t="shared" si="13"/>
        <v>1461</v>
      </c>
      <c r="E123" s="31">
        <v>42944</v>
      </c>
      <c r="F123" s="74">
        <f t="shared" si="7"/>
        <v>1461</v>
      </c>
      <c r="H123" s="127">
        <f>(6*100)+(1.35*100)+(0.2*600)+(-0.31*800)+(0.31*800)+(-0.84*400)+(1.29*300)+(1.01*100)+(-0.02*100)+(-0.03*500)+(0.1*400)+(1.3*100-4)+(-0.44*800)+(0.46*800)+(2.05*100-4)+(-0.4*500-4)+(0.22*500-4)+(-0.01*100-4)-17+(-1.55*100-4)+(2.3*100-4)+(-3.85*100-4)+(4.05*100-4)+(-3.79*100-4)+(4.22*100-4)+(-0.83*600-4)+(1.03*600-4)-17</f>
        <v>1462</v>
      </c>
      <c r="I123">
        <f>+(0.29*100)</f>
        <v>28.999999999999996</v>
      </c>
      <c r="K123">
        <f>(0.7*100)+(-1*100)</f>
        <v>-30</v>
      </c>
      <c r="N123" s="190" t="s">
        <v>672</v>
      </c>
      <c r="O123" s="5">
        <f>(5.3*100)+(1*100)+(0.2*500)+(-0.83*200)+(1.61*100)+(-0.01*500)+(1.05*100)+(0.25*200)+(0.46*400)+(1.25*100)+(-0.02*100)-17+(1.6*100)+(-0.01*100-4)+(-6.35*500-0)+(6.4*500-0)+(-0.73*500-4)+(0.8*500-4)+(-4*100-4)+(4.3*100-4)+(-1.89*100-4)+(2.45*100-4)+(-1.47*100-4)+(2.6*100-4)</f>
        <v>1547</v>
      </c>
      <c r="P123" s="30">
        <f>AVERAGE(O$94:O123)</f>
        <v>1306.48</v>
      </c>
      <c r="Q123" s="30">
        <f>AVERAGE(F$94:F123)</f>
        <v>1724.120351933333</v>
      </c>
      <c r="R123" s="30">
        <f>SUM(O$94:O123)</f>
        <v>39194.400000000001</v>
      </c>
      <c r="S123" s="30">
        <f>SUM(F$94:F123)</f>
        <v>51723.610557999993</v>
      </c>
    </row>
    <row r="124" spans="2:19" x14ac:dyDescent="0.35">
      <c r="B124">
        <f t="shared" si="11"/>
        <v>31</v>
      </c>
      <c r="C124">
        <f t="shared" si="12"/>
        <v>2017</v>
      </c>
      <c r="D124">
        <f t="shared" si="13"/>
        <v>2617.25</v>
      </c>
      <c r="E124" s="31">
        <v>42951</v>
      </c>
      <c r="F124" s="74">
        <f t="shared" si="7"/>
        <v>2617.25</v>
      </c>
      <c r="H124" s="127">
        <f>(1.05*100-4)+(0.85*100-4)+(0.15*500-4)+(0.9*200-4)+(0.21*500-4)+(1.1*100-4)+(0.3*200-4)+(-1.28*600-4)+(1.49*600-4)+(-0.35*500-4)+(0.43*500-4)+(0.97*100-4)+(0.15*400-4)+(0.9*200-4)+(0.55*200-4)-17+(-6.5*700-4)+(6.7*700-4)+(-2.35*100-4)+(3.7*100-4)</f>
        <v>1515</v>
      </c>
      <c r="I124">
        <f>(400*0.49)+(800*0.5775)+(100*0.4025)</f>
        <v>698.25</v>
      </c>
      <c r="K124">
        <f>(0.35*400-4)+(0*400-4)+(2.8*100-4)+(0*100-4)</f>
        <v>404</v>
      </c>
      <c r="N124" s="190" t="s">
        <v>640</v>
      </c>
      <c r="O124" s="5">
        <f>(300*0.49)+(400*0.5775)+(-1.36*100)+(1.18*100)+(0.87*100-4)+(0.17*300-4)+(0.15*300-4)+(0.9*200-4)+(0.43*400)+(1.19*100-4)+(-1.09*500-4)+(1.48*500-4)+(3*100-4)+(0.15*600-4)+(2.4*100-4)-17+(-6.6*500-4)+(6.7*500-4)+(-3.5*100-4)+(3.7*100-4)+(-2.44*100-4)+(3.2*100-4)</f>
        <v>1904</v>
      </c>
      <c r="P124" s="30">
        <f>AVERAGE(O$94:O124)</f>
        <v>1325.7548387096774</v>
      </c>
      <c r="Q124" s="30">
        <f>AVERAGE(F$94:F124)</f>
        <v>1752.9309857419353</v>
      </c>
      <c r="R124" s="30">
        <f>SUM(O$94:O124)</f>
        <v>41098.400000000001</v>
      </c>
      <c r="S124" s="30">
        <f>SUM(F$94:F124)</f>
        <v>54340.860557999993</v>
      </c>
    </row>
    <row r="125" spans="2:19" x14ac:dyDescent="0.35">
      <c r="B125">
        <f t="shared" ref="B125:B130" si="14">WEEKNUM(E125)</f>
        <v>32</v>
      </c>
      <c r="C125">
        <f t="shared" ref="C125:C130" si="15">YEAR(E125)</f>
        <v>2017</v>
      </c>
      <c r="D125">
        <f t="shared" ref="D125:D130" si="16">F125</f>
        <v>760</v>
      </c>
      <c r="E125" s="31">
        <v>42958</v>
      </c>
      <c r="F125" s="74">
        <f t="shared" si="7"/>
        <v>760</v>
      </c>
      <c r="H125" s="127">
        <f>(0.5*100-4)+(0.28*100-4)+(0.28*400-4)+(0.8*100-4)+(0.07*400-4)+(1.2*100-4)+(0.21*500-4)-17+(-4.6*100-4)+(5.3*100-4)+(-1.51*100-4)+(2.11*100-4)+(-1.33*400-4)+(1.49*400-4)+(-1.75*100-4)+(2.95*100-4)</f>
        <v>760</v>
      </c>
      <c r="O125" s="5">
        <f>(0.5*200-4)+(0.3*400-4)+(2.04*100-4)+(0.15*400-4)+(0.21*400-4)+(0.33*200-4)+(-4.7*100-4)+(5.24*100-4)+(-0.25*100-4)+(1*100-4)+(-1.95*100-4)+(3.03*100-4)</f>
        <v>823</v>
      </c>
      <c r="P125" s="30">
        <f>AVERAGE(O$94:O125)</f>
        <v>1310.04375</v>
      </c>
      <c r="Q125" s="30">
        <f>AVERAGE(F$94:F125)</f>
        <v>1721.9018924374998</v>
      </c>
      <c r="R125" s="30">
        <f>SUM(O$94:O125)</f>
        <v>41921.4</v>
      </c>
      <c r="S125" s="30">
        <f>SUM(F$94:F125)</f>
        <v>55100.860557999993</v>
      </c>
    </row>
    <row r="126" spans="2:19" x14ac:dyDescent="0.35">
      <c r="B126">
        <f t="shared" si="14"/>
        <v>33</v>
      </c>
      <c r="C126">
        <f t="shared" si="15"/>
        <v>2017</v>
      </c>
      <c r="D126">
        <f t="shared" si="16"/>
        <v>1778.9</v>
      </c>
      <c r="E126" s="31">
        <v>42965</v>
      </c>
      <c r="F126" s="74">
        <f t="shared" si="7"/>
        <v>1778.9</v>
      </c>
      <c r="H126" s="127">
        <f>(2.23*100-4)+(0.5*500-4)+(0.21*500-4)+(-0.61*100-4)+(1.04*100-4)+(0.2*200-4)+(-0.26*400-4)+(0.38*400-4)+(1.2*100-4)+(0.27*400-4)+(-1*100-4)+(1.4*100-4)+(-2.72*200-4)+(3.4*200-4)+(0.7*100-4)</f>
        <v>1123</v>
      </c>
      <c r="I126">
        <f>1130*0.63</f>
        <v>711.9</v>
      </c>
      <c r="J126">
        <f>(-1.05*100-4)+(-0.2*100-4)+(1.05*100-4)+(-0.2*100-4)</f>
        <v>-56</v>
      </c>
      <c r="N126" s="190" t="s">
        <v>115</v>
      </c>
      <c r="O126" s="5">
        <f>300*0.63+(-0.07*200-4)+(0.2*200-4)+(0.16*400-4)+(-0.67*100-4)+(0.95*100-4)+(1.05*100-4)+(-0.05*200-4)+(0.16*200-4)+(0.28*200-4)+(1.15*100-4)+(0.3*200-4)+(-1.2*200-4)+(1.35*200-4)+(-2.98*100-4)+(4*100-4)+(-1.11*100-4)+(1.23*100-4)+(-2.73*400-4)+(3.3*400-4)</f>
        <v>961</v>
      </c>
      <c r="P126" s="30">
        <f>AVERAGE(O$94:O126)</f>
        <v>1299.4666666666667</v>
      </c>
      <c r="Q126" s="30">
        <f>AVERAGE(F$94:F126)</f>
        <v>1723.6291078181816</v>
      </c>
      <c r="R126" s="30">
        <f>SUM(O$94:O126)</f>
        <v>42882.400000000001</v>
      </c>
      <c r="S126" s="30">
        <f>SUM(F$94:F126)</f>
        <v>56879.760557999994</v>
      </c>
    </row>
    <row r="127" spans="2:19" x14ac:dyDescent="0.35">
      <c r="B127">
        <f t="shared" si="14"/>
        <v>34</v>
      </c>
      <c r="C127">
        <f t="shared" si="15"/>
        <v>2017</v>
      </c>
      <c r="D127">
        <f t="shared" si="16"/>
        <v>902</v>
      </c>
      <c r="E127" s="31">
        <v>42972</v>
      </c>
      <c r="F127" s="74">
        <f t="shared" si="7"/>
        <v>902</v>
      </c>
      <c r="H127" s="127">
        <f>(0.13*500-4)+(0.2*500-4)+(1.55*100-4)+(1.1*100-4)+(-0.57*500-4)+(0.62*500-4)+(-2.35*100-4)+(2.46*100-4)+(0.65*100-4)+(-4.5*100-4)+(4.9*100-4)+(-6.17*100-4)+(7.5*100-4)</f>
        <v>652</v>
      </c>
      <c r="I127">
        <f>1000*0.25</f>
        <v>250</v>
      </c>
      <c r="N127" s="190" t="s">
        <v>186</v>
      </c>
      <c r="O127" s="5">
        <f>(0.23*400-4)+(1.25*100-4)+(0.65*100-4)+(-0.58*400-4)+(0.63*400-4)+(0.16*300-4)+(-2.29*100-4)+(2.45*100-4)</f>
        <v>334</v>
      </c>
      <c r="P127" s="30">
        <f>AVERAGE(O$94:O127)</f>
        <v>1271.0705882352941</v>
      </c>
      <c r="Q127" s="30">
        <f>AVERAGE(F$94:F127)</f>
        <v>1699.4635458235293</v>
      </c>
      <c r="R127" s="30">
        <f>SUM(O$94:O127)</f>
        <v>43216.4</v>
      </c>
      <c r="S127" s="30">
        <f>SUM(F$94:F127)</f>
        <v>57781.760557999994</v>
      </c>
    </row>
    <row r="128" spans="2:19" x14ac:dyDescent="0.35">
      <c r="B128">
        <f t="shared" si="14"/>
        <v>35</v>
      </c>
      <c r="C128">
        <f t="shared" si="15"/>
        <v>2017</v>
      </c>
      <c r="D128">
        <f t="shared" si="16"/>
        <v>939</v>
      </c>
      <c r="E128" s="31">
        <v>42979</v>
      </c>
      <c r="F128" s="74">
        <f t="shared" si="7"/>
        <v>939</v>
      </c>
      <c r="H128" s="127">
        <f>(2.1*100-4)+(-0.46*500-5)+(0.54*500-4)+(5.1*100-4)+(-1.15*500-4)+(1.75*500-4)</f>
        <v>1035</v>
      </c>
      <c r="I128">
        <f>0.13*800</f>
        <v>104</v>
      </c>
      <c r="J128">
        <f>+(-1.96*100-4)</f>
        <v>-200</v>
      </c>
      <c r="N128" s="190" t="s">
        <v>418</v>
      </c>
      <c r="O128" s="5">
        <f>0.13*600+(-0.58*300-5)+(0.73*300-4)+(-1.64*400-4)+(1.75*400-4)+(-4.4*100-4)+(5.13*100-4)</f>
        <v>214.99999999999994</v>
      </c>
      <c r="P128" s="30">
        <f>AVERAGE(O$94:O128)</f>
        <v>1240.8971428571429</v>
      </c>
      <c r="Q128" s="30">
        <f>AVERAGE(F$94:F128)</f>
        <v>1677.736015942857</v>
      </c>
      <c r="R128" s="30">
        <f>SUM(O$94:O128)</f>
        <v>43431.4</v>
      </c>
      <c r="S128" s="30">
        <f>SUM(F$94:F128)</f>
        <v>58720.760557999994</v>
      </c>
    </row>
    <row r="129" spans="2:19" x14ac:dyDescent="0.35">
      <c r="B129">
        <f t="shared" si="14"/>
        <v>36</v>
      </c>
      <c r="C129">
        <f t="shared" si="15"/>
        <v>2017</v>
      </c>
      <c r="D129">
        <f t="shared" si="16"/>
        <v>572</v>
      </c>
      <c r="E129" s="31">
        <v>42986</v>
      </c>
      <c r="F129" s="74">
        <f t="shared" si="7"/>
        <v>572</v>
      </c>
      <c r="H129" s="127">
        <f>(0.15*500-4)+(-0.73*400-4)+(0.82*400-4)+(0.15*500-4)+(0.4*200-4)+(1.6*100-4)+(0.17*200-4)+(-1.03*500-4)+(1.3*500-4)+(-2.35*100-4)+(2.73*100-4)-17</f>
        <v>572</v>
      </c>
      <c r="O129" s="5">
        <f>(0.25*200-4)+(0.15*500-4)+(-1.19*300-4)+(1.28*300-4)+(1.65*100-4)-17+(-1.39*200-4)+(1.9*200-4)</f>
        <v>374</v>
      </c>
      <c r="P129" s="30">
        <f>AVERAGE(O$94:O129)</f>
        <v>1216.8166666666666</v>
      </c>
      <c r="Q129" s="30">
        <f>AVERAGE(F$94:F129)</f>
        <v>1647.021126611111</v>
      </c>
      <c r="R129" s="30">
        <f>SUM(O$94:O129)</f>
        <v>43805.4</v>
      </c>
      <c r="S129" s="30">
        <f>SUM(F$94:F129)</f>
        <v>59292.760557999994</v>
      </c>
    </row>
    <row r="130" spans="2:19" x14ac:dyDescent="0.35">
      <c r="B130">
        <f t="shared" si="14"/>
        <v>37</v>
      </c>
      <c r="C130">
        <f t="shared" si="15"/>
        <v>2017</v>
      </c>
      <c r="D130">
        <f t="shared" si="16"/>
        <v>118.99999999999994</v>
      </c>
      <c r="E130" s="31">
        <v>42993</v>
      </c>
      <c r="F130" s="74">
        <f t="shared" si="7"/>
        <v>118.99999999999994</v>
      </c>
      <c r="H130" s="127">
        <f>(-0.26*200-4)+(0.32*200-4)+(0.15*200-4)-17+(-3.1*200-4)+(3.28*200-4)+(-2.12*200-4)+(2.55*200-4)</f>
        <v>118.99999999999994</v>
      </c>
      <c r="O130" s="5">
        <f>(0.2*200-4)+(-3.1*300-4)+(3.27*300-4)+(-2.12*200-4)+(2.55*200-4)</f>
        <v>156.99999999999994</v>
      </c>
      <c r="P130" s="30">
        <f>AVERAGE(O$94:O130)</f>
        <v>1188.172972972973</v>
      </c>
      <c r="Q130" s="30">
        <f>AVERAGE(F$94:F130)</f>
        <v>1605.7232583243242</v>
      </c>
      <c r="R130" s="30">
        <f>SUM(O$94:O130)</f>
        <v>43962.400000000001</v>
      </c>
      <c r="S130" s="30">
        <f>SUM(F$94:F130)</f>
        <v>59411.760557999994</v>
      </c>
    </row>
    <row r="131" spans="2:19" x14ac:dyDescent="0.35">
      <c r="B131">
        <f>WEEKNUM(E131)</f>
        <v>38</v>
      </c>
      <c r="C131">
        <f>YEAR(E131)</f>
        <v>2017</v>
      </c>
      <c r="D131">
        <f>F131</f>
        <v>1547</v>
      </c>
      <c r="E131" s="31">
        <v>43000</v>
      </c>
      <c r="F131" s="74">
        <f t="shared" si="7"/>
        <v>1547</v>
      </c>
      <c r="H131" s="127">
        <f>(-0.05*200-4)+(0.66*200-4)+(1.61*500-4)+(1.1*400-4)+(-0.02*500-4)+(0.11*500-4)+(0.35*200-4)+(-3.9*100-4)+(4.3*100-4)+(-5.2*100-4)+(5.55*100-4)+(-0.3*200-4)+(0.51*200-4)</f>
        <v>1547</v>
      </c>
      <c r="O131" s="5">
        <f>(0.2*400-4)+(1.06*400-4)+(-0.83*200-4)+(0.99*200-4)</f>
        <v>520</v>
      </c>
      <c r="P131" s="30">
        <f>AVERAGE(O$94:O131)</f>
        <v>1170.5894736842106</v>
      </c>
      <c r="Q131" s="30">
        <f>AVERAGE(F$94:F131)</f>
        <v>1604.1779094210524</v>
      </c>
      <c r="R131" s="30">
        <f>SUM(O$94:O131)</f>
        <v>44482.400000000001</v>
      </c>
      <c r="S131" s="30">
        <f>SUM(F$94:F131)</f>
        <v>60958.760557999994</v>
      </c>
    </row>
    <row r="132" spans="2:19" x14ac:dyDescent="0.35">
      <c r="B132">
        <f t="shared" ref="B132:B137" si="17">WEEKNUM(E132)</f>
        <v>39</v>
      </c>
      <c r="C132">
        <f t="shared" ref="C132:C137" si="18">YEAR(E132)</f>
        <v>2017</v>
      </c>
      <c r="D132">
        <f t="shared" ref="D132:D137" si="19">F132</f>
        <v>911</v>
      </c>
      <c r="E132" s="31">
        <v>43007</v>
      </c>
      <c r="F132" s="74">
        <f t="shared" si="7"/>
        <v>911</v>
      </c>
      <c r="H132" s="127">
        <f>(0.14*4000-4)+(0.7*100-4)+(0.29*200-4)+(-6.15*700-4)+(6.5*700-4)+(-1.25*100-4)+(1.45*100-4)+(-0.02*500-4)</f>
        <v>911</v>
      </c>
      <c r="O132" s="5">
        <f>+(0.7*100-4)+(2.05*100-4)+(-6.12*500-4)+(6.48*500-4)+(-1.25*100-4)+(1.46*100-4)+(0.3*200-4)-4</f>
        <v>504</v>
      </c>
      <c r="P132" s="30">
        <f>AVERAGE(O$94:O132)</f>
        <v>1153.4974358974359</v>
      </c>
      <c r="Q132" s="30">
        <f>AVERAGE(F$94:F132)</f>
        <v>1586.4041168717947</v>
      </c>
      <c r="R132" s="30">
        <f>SUM(O$94:O132)</f>
        <v>44986.400000000001</v>
      </c>
      <c r="S132" s="30">
        <f>SUM(F$94:F132)</f>
        <v>61869.760557999994</v>
      </c>
    </row>
    <row r="133" spans="2:19" x14ac:dyDescent="0.35">
      <c r="B133">
        <f t="shared" si="17"/>
        <v>40</v>
      </c>
      <c r="C133">
        <f t="shared" si="18"/>
        <v>2017</v>
      </c>
      <c r="D133">
        <f t="shared" si="19"/>
        <v>992</v>
      </c>
      <c r="E133" s="31">
        <v>43014</v>
      </c>
      <c r="F133" s="74">
        <f t="shared" si="7"/>
        <v>992</v>
      </c>
      <c r="H133" s="127">
        <f>(0.25*500-4)+(-0.14*500-4)+(0.27*500-4)+(-0.09*4000-4)+(0.1*4000-4)+(0.1*2000-4)+(0.24*2000-4)+(1.14*100-4)</f>
        <v>992</v>
      </c>
      <c r="O133" s="5">
        <f>(0.21*400-4)+(-0.02*400-4)+(0.13*400-4)+(0.22*300-4)+(-0.14*300-4)+(0.27*300-4)+(1.15*100-4)-4</f>
        <v>316</v>
      </c>
      <c r="P133" s="30">
        <f>AVERAGE(O$94:O133)</f>
        <v>1132.56</v>
      </c>
      <c r="Q133" s="30">
        <f>AVERAGE(F$94:F133)</f>
        <v>1571.5440139499999</v>
      </c>
      <c r="R133" s="30">
        <f>SUM(O$94:O133)</f>
        <v>45302.400000000001</v>
      </c>
      <c r="S133" s="30">
        <f>SUM(F$94:F133)</f>
        <v>62861.760557999994</v>
      </c>
    </row>
    <row r="134" spans="2:19" x14ac:dyDescent="0.35">
      <c r="B134">
        <f t="shared" si="17"/>
        <v>41</v>
      </c>
      <c r="C134">
        <f t="shared" si="18"/>
        <v>2017</v>
      </c>
      <c r="D134">
        <f t="shared" si="19"/>
        <v>523</v>
      </c>
      <c r="E134" s="31">
        <v>43021</v>
      </c>
      <c r="F134" s="74">
        <f t="shared" si="7"/>
        <v>523</v>
      </c>
      <c r="H134" s="127">
        <f>(-0.52*500-4)+(0.55*500-4)+(0.25*200-4)+(0.55*300-4)+(1.35*100-4)+(0.25*200-4)-17+(0.33*300-4)+(-0.66*200-4)+(0.6*200-4)+(-0.83*500-4)+(0.93*500-4)+(-0.03*200-4)+(0.23*200-4)</f>
        <v>523</v>
      </c>
      <c r="O134" s="5">
        <f>(-0.52*300-4)+(0.65*300-4)+(0.25*200-4)+(0.6*300-4)+(-0.95*400-4)+(0.95*400-4)</f>
        <v>245</v>
      </c>
      <c r="P134" s="30">
        <f>AVERAGE(O$94:O134)</f>
        <v>1110.9121951219513</v>
      </c>
      <c r="Q134" s="30">
        <f>AVERAGE(F$94:F134)</f>
        <v>1545.969769707317</v>
      </c>
      <c r="R134" s="30">
        <f>SUM(O$94:O134)</f>
        <v>45547.4</v>
      </c>
      <c r="S134" s="30">
        <f>SUM(F$94:F134)</f>
        <v>63384.760557999994</v>
      </c>
    </row>
    <row r="135" spans="2:19" x14ac:dyDescent="0.35">
      <c r="B135">
        <f t="shared" si="17"/>
        <v>42</v>
      </c>
      <c r="C135">
        <f t="shared" si="18"/>
        <v>2017</v>
      </c>
      <c r="D135">
        <f t="shared" si="19"/>
        <v>101</v>
      </c>
      <c r="E135" s="31">
        <v>43028</v>
      </c>
      <c r="F135" s="74">
        <f t="shared" si="7"/>
        <v>101</v>
      </c>
      <c r="H135" s="127">
        <f>(1.05*100-4)</f>
        <v>101</v>
      </c>
      <c r="M135">
        <f>(3*100-4)</f>
        <v>296</v>
      </c>
      <c r="O135" s="5">
        <f>(0.22*200-4)+(1.1*100-4)</f>
        <v>146</v>
      </c>
      <c r="P135" s="30">
        <f>AVERAGE(O$94:O135)</f>
        <v>1087.9380952380952</v>
      </c>
      <c r="Q135" s="30">
        <f>AVERAGE(F$94:F135)</f>
        <v>1511.5657275714284</v>
      </c>
      <c r="R135" s="30">
        <f>SUM(O$94:O135)</f>
        <v>45693.4</v>
      </c>
      <c r="S135" s="30">
        <f>SUM(F$94:F135)</f>
        <v>63485.760557999994</v>
      </c>
    </row>
    <row r="136" spans="2:19" x14ac:dyDescent="0.35">
      <c r="B136">
        <f t="shared" si="17"/>
        <v>43</v>
      </c>
      <c r="C136">
        <f t="shared" si="18"/>
        <v>2017</v>
      </c>
      <c r="D136">
        <f t="shared" si="19"/>
        <v>0</v>
      </c>
      <c r="E136" s="31">
        <v>43035</v>
      </c>
    </row>
    <row r="137" spans="2:19" x14ac:dyDescent="0.35">
      <c r="B137">
        <f t="shared" si="17"/>
        <v>44</v>
      </c>
      <c r="C137">
        <f t="shared" si="18"/>
        <v>2017</v>
      </c>
      <c r="D137">
        <f t="shared" si="19"/>
        <v>0</v>
      </c>
      <c r="E137" s="31">
        <v>43042</v>
      </c>
    </row>
    <row r="138" spans="2:19" x14ac:dyDescent="0.35">
      <c r="B138">
        <f t="shared" ref="B138:B145" si="20">WEEKNUM(E138)</f>
        <v>45</v>
      </c>
      <c r="C138">
        <f t="shared" ref="C138:C145" si="21">YEAR(E138)</f>
        <v>2017</v>
      </c>
      <c r="D138">
        <f t="shared" ref="D138:D145" si="22">F138</f>
        <v>0</v>
      </c>
      <c r="E138" s="31">
        <v>43049</v>
      </c>
    </row>
    <row r="139" spans="2:19" x14ac:dyDescent="0.35">
      <c r="B139">
        <f t="shared" si="20"/>
        <v>46</v>
      </c>
      <c r="C139">
        <f t="shared" si="21"/>
        <v>2017</v>
      </c>
      <c r="D139">
        <f t="shared" si="22"/>
        <v>0</v>
      </c>
      <c r="E139" s="31">
        <v>43056</v>
      </c>
    </row>
    <row r="140" spans="2:19" x14ac:dyDescent="0.35">
      <c r="B140">
        <f t="shared" si="20"/>
        <v>47</v>
      </c>
      <c r="C140">
        <f t="shared" si="21"/>
        <v>2017</v>
      </c>
      <c r="D140">
        <f t="shared" si="22"/>
        <v>0</v>
      </c>
      <c r="E140" s="31">
        <v>43063</v>
      </c>
    </row>
    <row r="141" spans="2:19" x14ac:dyDescent="0.35">
      <c r="B141">
        <f t="shared" si="20"/>
        <v>48</v>
      </c>
      <c r="C141">
        <f t="shared" si="21"/>
        <v>2017</v>
      </c>
      <c r="D141">
        <f t="shared" si="22"/>
        <v>0</v>
      </c>
      <c r="E141" s="31">
        <v>43070</v>
      </c>
    </row>
    <row r="142" spans="2:19" x14ac:dyDescent="0.35">
      <c r="B142">
        <f t="shared" si="20"/>
        <v>49</v>
      </c>
      <c r="C142">
        <f t="shared" si="21"/>
        <v>2017</v>
      </c>
      <c r="D142">
        <f t="shared" si="22"/>
        <v>0</v>
      </c>
      <c r="E142" s="31">
        <v>43077</v>
      </c>
    </row>
    <row r="143" spans="2:19" x14ac:dyDescent="0.35">
      <c r="B143">
        <f t="shared" si="20"/>
        <v>50</v>
      </c>
      <c r="C143">
        <f t="shared" si="21"/>
        <v>2017</v>
      </c>
      <c r="D143">
        <f t="shared" si="22"/>
        <v>0</v>
      </c>
      <c r="E143" s="31">
        <v>43084</v>
      </c>
    </row>
    <row r="144" spans="2:19" x14ac:dyDescent="0.35">
      <c r="B144">
        <f t="shared" si="20"/>
        <v>51</v>
      </c>
      <c r="C144">
        <f t="shared" si="21"/>
        <v>2017</v>
      </c>
      <c r="D144">
        <f t="shared" si="22"/>
        <v>0</v>
      </c>
      <c r="E144" s="31">
        <v>43091</v>
      </c>
    </row>
    <row r="145" spans="2:5" x14ac:dyDescent="0.35">
      <c r="B145">
        <f t="shared" si="20"/>
        <v>52</v>
      </c>
      <c r="C145">
        <f t="shared" si="21"/>
        <v>2017</v>
      </c>
      <c r="D145">
        <f t="shared" si="22"/>
        <v>0</v>
      </c>
      <c r="E145" s="31">
        <v>43098</v>
      </c>
    </row>
    <row r="146" spans="2:5" x14ac:dyDescent="0.35">
      <c r="E146" s="31">
        <v>43105</v>
      </c>
    </row>
  </sheetData>
  <mergeCells count="1">
    <mergeCell ref="G12:H12"/>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2:MS116"/>
  <sheetViews>
    <sheetView tabSelected="1" topLeftCell="A12" zoomScaleNormal="100" workbookViewId="0">
      <selection activeCell="D20" sqref="D20"/>
    </sheetView>
  </sheetViews>
  <sheetFormatPr defaultRowHeight="14.5" x14ac:dyDescent="0.35"/>
  <cols>
    <col min="1" max="1" width="11.54296875" bestFit="1" customWidth="1"/>
    <col min="2" max="2" width="5" customWidth="1"/>
    <col min="3" max="3" width="37.90625" customWidth="1"/>
    <col min="4" max="4" width="14.54296875" customWidth="1"/>
    <col min="5" max="5" width="11.1796875" customWidth="1"/>
    <col min="6" max="6" width="13.7265625" customWidth="1"/>
    <col min="7" max="7" width="11.1796875" customWidth="1"/>
    <col min="8" max="8" width="12.81640625" customWidth="1"/>
    <col min="9" max="10" width="11.1796875" bestFit="1" customWidth="1"/>
    <col min="11" max="11" width="14.453125" customWidth="1"/>
    <col min="12" max="13" width="11.1796875" bestFit="1" customWidth="1"/>
    <col min="14" max="14" width="10.81640625" customWidth="1"/>
    <col min="15" max="15" width="11.26953125" customWidth="1"/>
    <col min="16" max="16" width="9.54296875" customWidth="1"/>
    <col min="17" max="17" width="11.453125" customWidth="1"/>
    <col min="18" max="18" width="10" bestFit="1" customWidth="1"/>
    <col min="33" max="33" width="8.90625" bestFit="1" customWidth="1"/>
  </cols>
  <sheetData>
    <row r="2" spans="3:33" x14ac:dyDescent="0.35">
      <c r="C2" t="s">
        <v>12</v>
      </c>
      <c r="D2" t="s">
        <v>16</v>
      </c>
      <c r="E2" t="s">
        <v>17</v>
      </c>
      <c r="F2" t="s">
        <v>18</v>
      </c>
      <c r="G2" t="s">
        <v>32</v>
      </c>
      <c r="H2" t="s">
        <v>178</v>
      </c>
    </row>
    <row r="3" spans="3:33" x14ac:dyDescent="0.35">
      <c r="C3" t="s">
        <v>13</v>
      </c>
      <c r="D3" s="3">
        <v>7</v>
      </c>
      <c r="E3" s="3">
        <v>10</v>
      </c>
      <c r="F3" s="3">
        <v>2</v>
      </c>
      <c r="G3" s="3">
        <v>25</v>
      </c>
      <c r="H3" s="3">
        <v>2.95</v>
      </c>
    </row>
    <row r="4" spans="3:33" x14ac:dyDescent="0.35">
      <c r="C4" t="s">
        <v>14</v>
      </c>
      <c r="D4" s="3">
        <v>1.25</v>
      </c>
      <c r="E4" s="3">
        <v>0.75</v>
      </c>
      <c r="F4" s="3">
        <v>1</v>
      </c>
      <c r="G4" s="3">
        <v>1.75</v>
      </c>
      <c r="H4" s="3">
        <v>0.35</v>
      </c>
    </row>
    <row r="5" spans="3:33" x14ac:dyDescent="0.35">
      <c r="C5" t="s">
        <v>15</v>
      </c>
      <c r="D5" s="3">
        <v>17</v>
      </c>
      <c r="E5" s="3">
        <v>20</v>
      </c>
      <c r="F5" s="3">
        <v>20</v>
      </c>
      <c r="G5" s="3">
        <v>0</v>
      </c>
      <c r="H5" s="3"/>
    </row>
    <row r="11" spans="3:33" x14ac:dyDescent="0.35">
      <c r="C11" t="s">
        <v>20</v>
      </c>
      <c r="D11" s="4" t="s">
        <v>21</v>
      </c>
    </row>
    <row r="13" spans="3:33" ht="18.5" x14ac:dyDescent="0.45">
      <c r="C13" s="1" t="s">
        <v>12</v>
      </c>
      <c r="D13" s="1" t="s">
        <v>19</v>
      </c>
    </row>
    <row r="14" spans="3:33" x14ac:dyDescent="0.35">
      <c r="C14" t="s">
        <v>13</v>
      </c>
      <c r="D14" s="3">
        <v>5</v>
      </c>
      <c r="F14" t="s">
        <v>62</v>
      </c>
      <c r="AG14" s="25"/>
    </row>
    <row r="15" spans="3:33" x14ac:dyDescent="0.35">
      <c r="C15" t="s">
        <v>14</v>
      </c>
      <c r="D15" s="3">
        <v>0</v>
      </c>
      <c r="X15" s="25"/>
      <c r="AG15" s="70"/>
    </row>
    <row r="16" spans="3:33" x14ac:dyDescent="0.35">
      <c r="C16" t="s">
        <v>15</v>
      </c>
      <c r="D16" s="3">
        <v>17</v>
      </c>
      <c r="X16" s="67"/>
    </row>
    <row r="17" spans="2:56" x14ac:dyDescent="0.35">
      <c r="C17" t="s">
        <v>177</v>
      </c>
      <c r="D17" s="72">
        <v>43119</v>
      </c>
      <c r="E17" s="71">
        <f ca="1">52*(D17-TODAY())/365</f>
        <v>13.534246575342467</v>
      </c>
    </row>
    <row r="18" spans="2:56" x14ac:dyDescent="0.35">
      <c r="D18" s="3"/>
      <c r="F18" t="s">
        <v>386</v>
      </c>
    </row>
    <row r="19" spans="2:56" ht="18.5" x14ac:dyDescent="0.45">
      <c r="C19" s="1" t="s">
        <v>2</v>
      </c>
    </row>
    <row r="20" spans="2:56" x14ac:dyDescent="0.35">
      <c r="B20" s="283" t="s">
        <v>29</v>
      </c>
      <c r="C20" t="s">
        <v>11</v>
      </c>
      <c r="D20" s="2" t="s">
        <v>87</v>
      </c>
      <c r="E20" s="2" t="s">
        <v>368</v>
      </c>
      <c r="F20" s="2" t="s">
        <v>343</v>
      </c>
      <c r="G20" s="201" t="s">
        <v>346</v>
      </c>
      <c r="H20" s="2" t="s">
        <v>1</v>
      </c>
      <c r="I20" s="151" t="s">
        <v>442</v>
      </c>
      <c r="J20" s="2" t="s">
        <v>628</v>
      </c>
      <c r="K20" s="2" t="s">
        <v>354</v>
      </c>
      <c r="L20" s="90" t="s">
        <v>614</v>
      </c>
      <c r="M20" s="177" t="s">
        <v>624</v>
      </c>
      <c r="N20" s="2" t="s">
        <v>366</v>
      </c>
      <c r="O20" s="2" t="s">
        <v>374</v>
      </c>
      <c r="P20" s="2" t="s">
        <v>629</v>
      </c>
      <c r="Q20" s="2" t="s">
        <v>626</v>
      </c>
      <c r="R20" s="142" t="s">
        <v>625</v>
      </c>
      <c r="S20" s="2" t="s">
        <v>384</v>
      </c>
      <c r="T20" s="2" t="s">
        <v>373</v>
      </c>
      <c r="U20" s="2" t="s">
        <v>438</v>
      </c>
      <c r="V20" s="88" t="s">
        <v>402</v>
      </c>
      <c r="W20" s="90" t="s">
        <v>338</v>
      </c>
      <c r="X20" s="122" t="s">
        <v>616</v>
      </c>
      <c r="Y20" s="125" t="s">
        <v>617</v>
      </c>
      <c r="Z20" s="127" t="s">
        <v>72</v>
      </c>
      <c r="AA20" s="244" t="s">
        <v>338</v>
      </c>
      <c r="AB20" s="127" t="s">
        <v>0</v>
      </c>
      <c r="AC20" s="127" t="s">
        <v>33</v>
      </c>
      <c r="AD20" s="127" t="s">
        <v>405</v>
      </c>
      <c r="AE20" s="127" t="s">
        <v>389</v>
      </c>
      <c r="AF20" s="137" t="s">
        <v>402</v>
      </c>
      <c r="AG20" s="137" t="s">
        <v>410</v>
      </c>
      <c r="AH20" s="204" t="s">
        <v>410</v>
      </c>
      <c r="AI20" s="141" t="s">
        <v>363</v>
      </c>
      <c r="AJ20" s="141" t="s">
        <v>364</v>
      </c>
      <c r="AK20" s="141" t="s">
        <v>365</v>
      </c>
      <c r="AL20" s="143" t="s">
        <v>367</v>
      </c>
      <c r="AM20" s="242" t="s">
        <v>436</v>
      </c>
      <c r="AN20" s="247" t="s">
        <v>385</v>
      </c>
      <c r="AO20" s="248" t="s">
        <v>181</v>
      </c>
      <c r="AP20" s="255" t="s">
        <v>166</v>
      </c>
      <c r="AQ20" s="255" t="s">
        <v>644</v>
      </c>
      <c r="AR20" s="256" t="s">
        <v>620</v>
      </c>
      <c r="AS20" s="260" t="s">
        <v>92</v>
      </c>
      <c r="AT20" s="261" t="s">
        <v>380</v>
      </c>
      <c r="AU20" s="261" t="s">
        <v>414</v>
      </c>
      <c r="AV20" s="263" t="s">
        <v>399</v>
      </c>
      <c r="AW20" s="263" t="s">
        <v>93</v>
      </c>
      <c r="AX20" s="267" t="s">
        <v>686</v>
      </c>
      <c r="AY20" s="271" t="s">
        <v>558</v>
      </c>
      <c r="AZ20" s="273" t="s">
        <v>690</v>
      </c>
      <c r="BA20" s="276" t="s">
        <v>625</v>
      </c>
      <c r="BB20" s="276" t="s">
        <v>180</v>
      </c>
      <c r="BC20" s="280" t="s">
        <v>671</v>
      </c>
      <c r="BD20" s="281" t="s">
        <v>356</v>
      </c>
    </row>
    <row r="21" spans="2:56" x14ac:dyDescent="0.35">
      <c r="B21" s="284"/>
      <c r="C21" t="s">
        <v>7</v>
      </c>
      <c r="D21" s="3">
        <v>927.5</v>
      </c>
      <c r="E21" s="3">
        <v>935</v>
      </c>
      <c r="F21" s="3">
        <v>310</v>
      </c>
      <c r="G21" s="3">
        <v>100</v>
      </c>
      <c r="H21" s="3">
        <v>145</v>
      </c>
      <c r="I21" s="3">
        <v>150</v>
      </c>
      <c r="J21" s="3">
        <v>125</v>
      </c>
      <c r="K21" s="3">
        <v>100</v>
      </c>
      <c r="L21" s="3">
        <v>35</v>
      </c>
      <c r="M21" s="3">
        <v>80</v>
      </c>
      <c r="N21" s="3">
        <v>22</v>
      </c>
      <c r="O21" s="3">
        <v>15.5</v>
      </c>
      <c r="P21" s="3">
        <v>99.5</v>
      </c>
      <c r="Q21" s="3">
        <v>50</v>
      </c>
      <c r="R21" s="3">
        <v>54</v>
      </c>
      <c r="S21" s="3">
        <v>152.5</v>
      </c>
      <c r="T21" s="3">
        <v>20</v>
      </c>
      <c r="U21" s="3">
        <v>95</v>
      </c>
      <c r="V21" s="3">
        <v>46</v>
      </c>
      <c r="W21" s="3">
        <v>38</v>
      </c>
      <c r="X21" s="3">
        <v>260</v>
      </c>
      <c r="Y21" s="3">
        <v>10.5</v>
      </c>
      <c r="Z21" s="3">
        <v>8.5</v>
      </c>
      <c r="AA21" s="3">
        <v>45</v>
      </c>
      <c r="AB21" s="3">
        <v>205</v>
      </c>
      <c r="AC21" s="3">
        <v>36</v>
      </c>
      <c r="AD21" s="3">
        <v>55</v>
      </c>
      <c r="AE21" s="3">
        <v>115</v>
      </c>
      <c r="AF21" s="3">
        <v>40</v>
      </c>
      <c r="AG21" s="3">
        <v>15</v>
      </c>
      <c r="AH21" s="3">
        <v>15</v>
      </c>
      <c r="AI21" s="3">
        <v>36.5</v>
      </c>
      <c r="AJ21" s="3">
        <v>15</v>
      </c>
      <c r="AK21" s="3">
        <v>100</v>
      </c>
      <c r="AL21" s="3">
        <v>59.5</v>
      </c>
      <c r="AM21" s="3">
        <v>5</v>
      </c>
      <c r="AN21" s="3">
        <v>31</v>
      </c>
      <c r="AO21" s="3">
        <v>22</v>
      </c>
      <c r="AP21" s="3">
        <v>95</v>
      </c>
      <c r="AQ21" s="3">
        <v>34</v>
      </c>
      <c r="AR21" s="3">
        <v>100</v>
      </c>
      <c r="AS21" s="3">
        <v>20</v>
      </c>
      <c r="AT21" s="3">
        <v>103</v>
      </c>
      <c r="AU21" s="3">
        <v>13.5</v>
      </c>
      <c r="AV21" s="3">
        <v>147</v>
      </c>
      <c r="AW21" s="3">
        <v>52.5</v>
      </c>
      <c r="AX21" s="3">
        <v>55</v>
      </c>
      <c r="AY21" s="3">
        <v>37.5</v>
      </c>
      <c r="AZ21" s="3">
        <v>9</v>
      </c>
      <c r="BA21" s="3">
        <v>53</v>
      </c>
      <c r="BB21" s="3">
        <v>7.5</v>
      </c>
      <c r="BC21" s="3">
        <v>60</v>
      </c>
      <c r="BD21" s="3">
        <v>182.5</v>
      </c>
    </row>
    <row r="22" spans="2:56" x14ac:dyDescent="0.35">
      <c r="B22" s="284"/>
      <c r="C22" t="s">
        <v>30</v>
      </c>
      <c r="D22" s="3">
        <v>2.1</v>
      </c>
      <c r="E22" s="3">
        <v>6</v>
      </c>
      <c r="F22" s="3">
        <v>15</v>
      </c>
      <c r="G22" s="3">
        <v>0.5</v>
      </c>
      <c r="H22" s="3">
        <v>1.18</v>
      </c>
      <c r="I22" s="3">
        <v>0.9</v>
      </c>
      <c r="J22" s="3">
        <v>1.3</v>
      </c>
      <c r="K22" s="3">
        <v>0.85</v>
      </c>
      <c r="L22" s="3">
        <v>0.6</v>
      </c>
      <c r="M22" s="3">
        <v>0.8</v>
      </c>
      <c r="N22" s="3">
        <v>0.17</v>
      </c>
      <c r="O22" s="3">
        <v>0.15</v>
      </c>
      <c r="P22" s="3">
        <v>0.45</v>
      </c>
      <c r="Q22" s="3">
        <v>1.1499999999999999</v>
      </c>
      <c r="R22" s="3">
        <v>2.0499999999999998</v>
      </c>
      <c r="S22" s="3">
        <v>1.1499999999999999</v>
      </c>
      <c r="T22" s="3">
        <v>0.35</v>
      </c>
      <c r="U22" s="3">
        <v>5.5</v>
      </c>
      <c r="V22" s="3">
        <v>0.45</v>
      </c>
      <c r="W22" s="3">
        <v>0.05</v>
      </c>
      <c r="X22" s="3">
        <v>0.7</v>
      </c>
      <c r="Y22" s="3">
        <v>0.15</v>
      </c>
      <c r="Z22" s="3">
        <v>0.1</v>
      </c>
      <c r="AA22" s="3">
        <v>3</v>
      </c>
      <c r="AB22" s="3">
        <v>0.44</v>
      </c>
      <c r="AC22" s="3">
        <v>0.6</v>
      </c>
      <c r="AD22" s="3">
        <v>0.3</v>
      </c>
      <c r="AE22" s="3">
        <v>1.05</v>
      </c>
      <c r="AF22" s="3">
        <v>0.5</v>
      </c>
      <c r="AG22" s="3">
        <v>0.1</v>
      </c>
      <c r="AH22" s="3">
        <v>1.3</v>
      </c>
      <c r="AI22" s="3">
        <v>0.2</v>
      </c>
      <c r="AJ22" s="3">
        <v>0.2</v>
      </c>
      <c r="AK22" s="3">
        <v>0.55000000000000004</v>
      </c>
      <c r="AL22" s="3">
        <v>0.15</v>
      </c>
      <c r="AM22" s="3">
        <v>0.75</v>
      </c>
      <c r="AN22" s="3">
        <v>0.37</v>
      </c>
      <c r="AO22" s="3">
        <v>0.8</v>
      </c>
      <c r="AP22" s="3">
        <v>0.25</v>
      </c>
      <c r="AQ22" s="3">
        <v>0.31</v>
      </c>
      <c r="AR22" s="3">
        <v>1.4</v>
      </c>
      <c r="AS22" s="3">
        <v>0.3</v>
      </c>
      <c r="AT22" s="3">
        <v>0.6</v>
      </c>
      <c r="AU22" s="3">
        <v>0.2</v>
      </c>
      <c r="AV22" s="3">
        <v>0.54</v>
      </c>
      <c r="AW22" s="3">
        <v>0.3</v>
      </c>
      <c r="AX22" s="3">
        <v>0.65</v>
      </c>
      <c r="AY22" s="3">
        <v>1.6</v>
      </c>
      <c r="AZ22" s="3">
        <v>0.7</v>
      </c>
      <c r="BA22" s="3">
        <v>0.7</v>
      </c>
      <c r="BB22" s="3">
        <v>0.28999999999999998</v>
      </c>
      <c r="BC22" s="3">
        <v>1.35</v>
      </c>
      <c r="BD22" s="3">
        <v>1.1000000000000001</v>
      </c>
    </row>
    <row r="23" spans="2:56" x14ac:dyDescent="0.35">
      <c r="B23" s="284"/>
      <c r="C23" t="s">
        <v>3</v>
      </c>
      <c r="D23" s="6">
        <v>1</v>
      </c>
      <c r="E23" s="6">
        <v>1</v>
      </c>
      <c r="F23" s="2">
        <v>1</v>
      </c>
      <c r="G23" s="2">
        <v>1</v>
      </c>
      <c r="H23" s="2">
        <v>1</v>
      </c>
      <c r="I23" s="151">
        <v>1</v>
      </c>
      <c r="J23" s="2">
        <v>1</v>
      </c>
      <c r="K23" s="6">
        <v>1</v>
      </c>
      <c r="L23" s="6">
        <v>1</v>
      </c>
      <c r="M23" s="6">
        <v>1</v>
      </c>
      <c r="N23" s="6">
        <v>3</v>
      </c>
      <c r="O23" s="6">
        <v>2</v>
      </c>
      <c r="P23" s="6">
        <v>1</v>
      </c>
      <c r="Q23" s="6">
        <v>1</v>
      </c>
      <c r="R23" s="6">
        <v>1</v>
      </c>
      <c r="S23" s="6">
        <v>1</v>
      </c>
      <c r="T23" s="6">
        <v>2</v>
      </c>
      <c r="U23" s="6">
        <v>1</v>
      </c>
      <c r="V23" s="6">
        <v>2</v>
      </c>
      <c r="W23" s="6">
        <v>6</v>
      </c>
      <c r="X23" s="6">
        <v>1</v>
      </c>
      <c r="Y23" s="6">
        <v>5</v>
      </c>
      <c r="Z23" s="6">
        <v>10</v>
      </c>
      <c r="AA23" s="6">
        <v>2</v>
      </c>
      <c r="AB23" s="6">
        <v>1</v>
      </c>
      <c r="AC23" s="6">
        <v>2</v>
      </c>
      <c r="AD23" s="6">
        <v>2</v>
      </c>
      <c r="AE23" s="6">
        <v>1</v>
      </c>
      <c r="AF23" s="6">
        <v>2</v>
      </c>
      <c r="AG23" s="6">
        <v>1</v>
      </c>
      <c r="AH23" s="6">
        <v>4</v>
      </c>
      <c r="AI23" s="6">
        <v>2</v>
      </c>
      <c r="AJ23" s="6">
        <v>3</v>
      </c>
      <c r="AK23" s="6">
        <v>1</v>
      </c>
      <c r="AL23" s="6">
        <v>1</v>
      </c>
      <c r="AM23" s="6">
        <v>1</v>
      </c>
      <c r="AN23" s="6">
        <v>2</v>
      </c>
      <c r="AO23" s="6">
        <v>2</v>
      </c>
      <c r="AP23" s="6">
        <v>1</v>
      </c>
      <c r="AQ23" s="6">
        <v>1</v>
      </c>
      <c r="AR23" s="6">
        <v>1</v>
      </c>
      <c r="AS23" s="6">
        <v>3</v>
      </c>
      <c r="AT23" s="6">
        <v>1</v>
      </c>
      <c r="AU23" s="6">
        <v>4</v>
      </c>
      <c r="AV23" s="6">
        <v>1</v>
      </c>
      <c r="AW23" s="6">
        <v>2</v>
      </c>
      <c r="AX23" s="6">
        <v>1</v>
      </c>
      <c r="AY23" s="6">
        <v>1</v>
      </c>
      <c r="AZ23" s="6">
        <v>1</v>
      </c>
      <c r="BA23" s="6">
        <v>1</v>
      </c>
      <c r="BB23" s="6">
        <v>2</v>
      </c>
      <c r="BC23" s="6">
        <v>1</v>
      </c>
      <c r="BD23" s="6">
        <v>1</v>
      </c>
    </row>
    <row r="24" spans="2:56" x14ac:dyDescent="0.35">
      <c r="B24" s="284"/>
      <c r="C24" t="s">
        <v>10</v>
      </c>
      <c r="D24" s="6">
        <v>1</v>
      </c>
      <c r="E24" s="6">
        <v>1</v>
      </c>
      <c r="F24" s="6">
        <v>17</v>
      </c>
      <c r="G24" s="6">
        <v>3</v>
      </c>
      <c r="H24" s="6">
        <v>3</v>
      </c>
      <c r="I24" s="6">
        <v>1</v>
      </c>
      <c r="J24" s="6">
        <v>2</v>
      </c>
      <c r="K24" s="6">
        <v>2</v>
      </c>
      <c r="L24" s="6">
        <v>2</v>
      </c>
      <c r="M24" s="6">
        <v>3</v>
      </c>
      <c r="N24" s="6">
        <v>3</v>
      </c>
      <c r="O24" s="6">
        <v>2</v>
      </c>
      <c r="P24" s="6">
        <v>1</v>
      </c>
      <c r="Q24" s="6">
        <v>3</v>
      </c>
      <c r="R24" s="6">
        <v>6</v>
      </c>
      <c r="S24" s="6">
        <v>0.4</v>
      </c>
      <c r="T24" s="6">
        <v>3</v>
      </c>
      <c r="U24" s="6">
        <v>22</v>
      </c>
      <c r="V24" s="6">
        <v>1</v>
      </c>
      <c r="W24" s="6">
        <v>2</v>
      </c>
      <c r="X24" s="6">
        <v>1</v>
      </c>
      <c r="Y24" s="6">
        <v>1</v>
      </c>
      <c r="Z24" s="6">
        <v>2</v>
      </c>
      <c r="AA24" s="6">
        <v>30</v>
      </c>
      <c r="AB24" s="6">
        <v>1</v>
      </c>
      <c r="AC24" s="6">
        <v>2</v>
      </c>
      <c r="AD24" s="6">
        <v>1</v>
      </c>
      <c r="AE24" s="6">
        <v>2</v>
      </c>
      <c r="AF24" s="6">
        <v>3</v>
      </c>
      <c r="AG24" s="6">
        <v>3</v>
      </c>
      <c r="AH24" s="6">
        <v>28</v>
      </c>
      <c r="AI24" s="6">
        <v>1</v>
      </c>
      <c r="AJ24" s="6">
        <v>3</v>
      </c>
      <c r="AK24" s="6">
        <v>3</v>
      </c>
      <c r="AL24" s="6">
        <v>1</v>
      </c>
      <c r="AM24" s="6">
        <v>30</v>
      </c>
      <c r="AN24" s="6">
        <v>2</v>
      </c>
      <c r="AO24" s="6">
        <v>6</v>
      </c>
      <c r="AP24" s="6">
        <v>1</v>
      </c>
      <c r="AQ24" s="6">
        <v>1</v>
      </c>
      <c r="AR24" s="6">
        <v>1</v>
      </c>
      <c r="AS24" s="6">
        <v>3</v>
      </c>
      <c r="AT24" s="6">
        <v>0.8</v>
      </c>
      <c r="AU24" s="6">
        <v>3</v>
      </c>
      <c r="AV24" s="6">
        <v>1</v>
      </c>
      <c r="AW24" s="6">
        <v>2</v>
      </c>
      <c r="AX24" s="6">
        <v>3</v>
      </c>
      <c r="AY24" s="6">
        <v>20</v>
      </c>
      <c r="AZ24" s="6">
        <v>20</v>
      </c>
      <c r="BA24" s="6">
        <v>2</v>
      </c>
      <c r="BB24" s="6">
        <v>6</v>
      </c>
      <c r="BC24" s="6">
        <v>3</v>
      </c>
      <c r="BD24" s="6">
        <v>1</v>
      </c>
    </row>
    <row r="25" spans="2:56" x14ac:dyDescent="0.35">
      <c r="B25" s="284"/>
      <c r="C25" t="s">
        <v>23</v>
      </c>
      <c r="D25" s="6">
        <v>0</v>
      </c>
      <c r="E25" s="6">
        <v>0</v>
      </c>
      <c r="F25" s="6">
        <v>0</v>
      </c>
      <c r="G25" s="6">
        <v>0</v>
      </c>
      <c r="H25" s="6">
        <v>0</v>
      </c>
      <c r="I25" s="6">
        <v>0</v>
      </c>
      <c r="J25" s="6">
        <v>0</v>
      </c>
      <c r="K25" s="6">
        <v>0</v>
      </c>
      <c r="L25" s="6">
        <v>0</v>
      </c>
      <c r="M25" s="6">
        <v>0</v>
      </c>
      <c r="N25" s="6">
        <v>0</v>
      </c>
      <c r="O25" s="6">
        <v>0</v>
      </c>
      <c r="P25" s="6">
        <v>0</v>
      </c>
      <c r="Q25" s="6">
        <v>0</v>
      </c>
      <c r="R25" s="6">
        <v>0</v>
      </c>
      <c r="S25" s="6">
        <v>0</v>
      </c>
      <c r="T25" s="6">
        <v>0</v>
      </c>
      <c r="U25" s="6">
        <v>0</v>
      </c>
      <c r="V25" s="6">
        <v>0</v>
      </c>
      <c r="W25" s="6">
        <v>0</v>
      </c>
      <c r="X25" s="6">
        <v>0</v>
      </c>
      <c r="Y25" s="6">
        <v>0</v>
      </c>
      <c r="Z25" s="6">
        <v>0</v>
      </c>
      <c r="AA25" s="6">
        <v>0</v>
      </c>
      <c r="AB25" s="6">
        <v>0</v>
      </c>
      <c r="AC25" s="6">
        <v>0</v>
      </c>
      <c r="AD25" s="6">
        <v>0</v>
      </c>
      <c r="AE25" s="6">
        <v>0</v>
      </c>
      <c r="AF25" s="6">
        <v>0</v>
      </c>
      <c r="AG25" s="6">
        <v>0</v>
      </c>
      <c r="AH25" s="6">
        <v>0</v>
      </c>
      <c r="AI25" s="6">
        <v>0</v>
      </c>
      <c r="AJ25" s="6">
        <v>0</v>
      </c>
      <c r="AK25" s="6">
        <v>0</v>
      </c>
      <c r="AL25" s="6">
        <v>0</v>
      </c>
      <c r="AM25" s="6">
        <v>0</v>
      </c>
      <c r="AN25" s="6">
        <v>1</v>
      </c>
      <c r="AO25" s="6">
        <v>0</v>
      </c>
      <c r="AP25" s="6">
        <v>0</v>
      </c>
      <c r="AQ25" s="6">
        <v>0</v>
      </c>
      <c r="AR25" s="6">
        <v>0</v>
      </c>
      <c r="AS25" s="6">
        <v>0</v>
      </c>
      <c r="AT25" s="6">
        <v>0</v>
      </c>
      <c r="AU25" s="6">
        <v>0</v>
      </c>
      <c r="AV25" s="6">
        <v>0</v>
      </c>
      <c r="AW25" s="6">
        <v>0</v>
      </c>
      <c r="AX25" s="6">
        <v>0</v>
      </c>
      <c r="AY25" s="6">
        <v>0</v>
      </c>
      <c r="AZ25" s="6">
        <v>0</v>
      </c>
      <c r="BA25" s="6">
        <v>0</v>
      </c>
      <c r="BB25" s="6">
        <v>0</v>
      </c>
      <c r="BC25" s="6">
        <v>0</v>
      </c>
      <c r="BD25" s="6">
        <v>0</v>
      </c>
    </row>
    <row r="26" spans="2:56" x14ac:dyDescent="0.35">
      <c r="B26" s="286"/>
      <c r="C26" t="s">
        <v>431</v>
      </c>
      <c r="D26" s="6">
        <v>945</v>
      </c>
      <c r="E26" s="6">
        <v>980</v>
      </c>
      <c r="F26" s="6">
        <v>350</v>
      </c>
      <c r="G26" s="6">
        <v>152</v>
      </c>
      <c r="H26" s="6">
        <v>149</v>
      </c>
      <c r="I26" s="6">
        <v>159</v>
      </c>
      <c r="J26" s="6">
        <v>128</v>
      </c>
      <c r="K26" s="6">
        <v>104</v>
      </c>
      <c r="L26" s="6">
        <v>36.5</v>
      </c>
      <c r="M26" s="6">
        <v>86</v>
      </c>
      <c r="N26" s="6">
        <v>23</v>
      </c>
      <c r="O26" s="6">
        <v>16</v>
      </c>
      <c r="P26" s="6">
        <v>103</v>
      </c>
      <c r="Q26" s="6">
        <v>49.5</v>
      </c>
      <c r="R26" s="6">
        <v>53.8</v>
      </c>
      <c r="S26" s="6">
        <v>164.5</v>
      </c>
      <c r="T26" s="6">
        <v>20.3</v>
      </c>
      <c r="U26" s="6">
        <v>96</v>
      </c>
      <c r="V26" s="6">
        <v>50.4</v>
      </c>
      <c r="W26" s="6">
        <v>39.5</v>
      </c>
      <c r="X26" s="6">
        <v>290</v>
      </c>
      <c r="Y26" s="6">
        <v>12</v>
      </c>
      <c r="Z26" s="6">
        <v>8.9</v>
      </c>
      <c r="AA26" s="6">
        <v>45</v>
      </c>
      <c r="AB26" s="6">
        <v>210</v>
      </c>
      <c r="AC26" s="6">
        <v>36</v>
      </c>
      <c r="AD26" s="6">
        <v>56</v>
      </c>
      <c r="AE26" s="6">
        <v>132</v>
      </c>
      <c r="AF26" s="6">
        <v>152</v>
      </c>
      <c r="AG26" s="6">
        <v>18.399999999999999</v>
      </c>
      <c r="AH26" s="6">
        <v>152</v>
      </c>
      <c r="AI26" s="6">
        <v>152</v>
      </c>
      <c r="AJ26" s="6">
        <v>152</v>
      </c>
      <c r="AK26" s="6">
        <v>152</v>
      </c>
      <c r="AL26" s="6">
        <v>152</v>
      </c>
      <c r="AM26" s="6">
        <v>5</v>
      </c>
      <c r="AN26" s="6">
        <v>30.7</v>
      </c>
      <c r="AO26" s="6">
        <v>22</v>
      </c>
      <c r="AP26" s="6">
        <v>98.5</v>
      </c>
      <c r="AQ26" s="6">
        <v>37</v>
      </c>
      <c r="AR26" s="6">
        <v>108</v>
      </c>
      <c r="AS26" s="6">
        <v>20.45</v>
      </c>
      <c r="AT26" s="6">
        <v>107</v>
      </c>
      <c r="AU26" s="6">
        <v>14.8</v>
      </c>
      <c r="AV26" s="6">
        <v>154</v>
      </c>
      <c r="AW26" s="6">
        <v>53</v>
      </c>
      <c r="AX26" s="6">
        <v>63</v>
      </c>
      <c r="AY26" s="6">
        <v>38.5</v>
      </c>
      <c r="AZ26" s="6">
        <v>38.5</v>
      </c>
      <c r="BA26" s="6">
        <v>53.8</v>
      </c>
      <c r="BB26" s="6">
        <v>7.82</v>
      </c>
      <c r="BC26" s="6">
        <v>61.5</v>
      </c>
      <c r="BD26" s="6">
        <v>202.5</v>
      </c>
    </row>
    <row r="27" spans="2:56" x14ac:dyDescent="0.35">
      <c r="B27" s="287"/>
      <c r="C27" t="s">
        <v>635</v>
      </c>
      <c r="D27" s="8">
        <v>0.16</v>
      </c>
      <c r="E27" s="8">
        <v>0.47</v>
      </c>
      <c r="F27" s="8">
        <v>0.92</v>
      </c>
      <c r="G27" s="8">
        <v>0.18</v>
      </c>
      <c r="H27" s="8">
        <v>0.43</v>
      </c>
      <c r="I27" s="8">
        <v>0.75</v>
      </c>
      <c r="J27" s="8">
        <v>0.3</v>
      </c>
      <c r="K27" s="8">
        <v>0.18</v>
      </c>
      <c r="L27" s="8">
        <v>0.53</v>
      </c>
      <c r="M27" s="8">
        <v>0.18</v>
      </c>
      <c r="N27" s="8">
        <v>0.5</v>
      </c>
      <c r="O27" s="8">
        <v>0.36</v>
      </c>
      <c r="P27" s="8">
        <v>0.17</v>
      </c>
      <c r="Q27" s="8">
        <v>0.5</v>
      </c>
      <c r="R27" s="8">
        <v>0.28000000000000003</v>
      </c>
      <c r="S27" s="8">
        <v>1.5</v>
      </c>
      <c r="T27" s="8">
        <v>0.2</v>
      </c>
      <c r="U27" s="8">
        <v>0.26</v>
      </c>
      <c r="V27" s="8">
        <v>0.18</v>
      </c>
      <c r="W27" s="8">
        <v>0.13</v>
      </c>
      <c r="X27" s="8">
        <v>0.18</v>
      </c>
      <c r="Y27" s="8">
        <v>0.18</v>
      </c>
      <c r="Z27" s="8">
        <v>0.18</v>
      </c>
      <c r="AA27" s="8">
        <v>0.18</v>
      </c>
      <c r="AB27" s="8">
        <v>0.18</v>
      </c>
      <c r="AC27" s="8">
        <v>0.16</v>
      </c>
      <c r="AD27" s="8">
        <v>0.2</v>
      </c>
      <c r="AE27" s="8">
        <v>0.75</v>
      </c>
      <c r="AF27" s="8">
        <v>0.18</v>
      </c>
      <c r="AG27" s="8">
        <v>0.5</v>
      </c>
      <c r="AH27" s="8">
        <v>0.18</v>
      </c>
      <c r="AI27" s="8">
        <v>0.18</v>
      </c>
      <c r="AJ27" s="8">
        <v>0.18</v>
      </c>
      <c r="AK27" s="8">
        <v>0.18</v>
      </c>
      <c r="AL27" s="8">
        <v>0.18</v>
      </c>
      <c r="AM27" s="8">
        <v>0.18</v>
      </c>
      <c r="AN27" s="8">
        <v>0.16</v>
      </c>
      <c r="AO27" s="8">
        <v>0.3</v>
      </c>
      <c r="AP27" s="8">
        <v>0.5</v>
      </c>
      <c r="AQ27" s="8">
        <v>1.2</v>
      </c>
      <c r="AR27" s="8">
        <v>1.2</v>
      </c>
      <c r="AS27" s="8">
        <v>0.35</v>
      </c>
      <c r="AT27" s="8">
        <v>0.45</v>
      </c>
      <c r="AU27" s="8">
        <v>0.47</v>
      </c>
      <c r="AV27" s="8">
        <v>0.34</v>
      </c>
      <c r="AW27" s="8">
        <v>0.15</v>
      </c>
      <c r="AX27" s="8">
        <v>0.5</v>
      </c>
      <c r="AY27" s="8">
        <v>0.25</v>
      </c>
      <c r="AZ27" s="8">
        <v>0.25</v>
      </c>
      <c r="BA27" s="8">
        <v>0.25</v>
      </c>
      <c r="BB27" s="8">
        <v>0.25</v>
      </c>
      <c r="BC27" s="8">
        <v>0.35</v>
      </c>
      <c r="BD27" s="8">
        <v>0.8</v>
      </c>
    </row>
    <row r="28" spans="2:56" x14ac:dyDescent="0.35">
      <c r="B28" s="225"/>
      <c r="C28" t="s">
        <v>432</v>
      </c>
      <c r="D28" s="8">
        <f t="shared" ref="D28:AM28" si="0">(D26-D21)/D26</f>
        <v>1.8518518518518517E-2</v>
      </c>
      <c r="E28" s="8">
        <f t="shared" si="0"/>
        <v>4.5918367346938778E-2</v>
      </c>
      <c r="F28" s="8">
        <f t="shared" si="0"/>
        <v>0.11428571428571428</v>
      </c>
      <c r="G28" s="8">
        <f t="shared" si="0"/>
        <v>0.34210526315789475</v>
      </c>
      <c r="H28" s="8">
        <f t="shared" si="0"/>
        <v>2.6845637583892617E-2</v>
      </c>
      <c r="I28" s="8">
        <f t="shared" si="0"/>
        <v>5.6603773584905662E-2</v>
      </c>
      <c r="J28" s="8">
        <f t="shared" si="0"/>
        <v>2.34375E-2</v>
      </c>
      <c r="K28" s="8">
        <f t="shared" si="0"/>
        <v>3.8461538461538464E-2</v>
      </c>
      <c r="L28" s="8">
        <f t="shared" si="0"/>
        <v>4.1095890410958902E-2</v>
      </c>
      <c r="M28" s="8">
        <f t="shared" si="0"/>
        <v>6.9767441860465115E-2</v>
      </c>
      <c r="N28" s="8">
        <f t="shared" si="0"/>
        <v>4.3478260869565216E-2</v>
      </c>
      <c r="O28" s="8">
        <f t="shared" si="0"/>
        <v>3.125E-2</v>
      </c>
      <c r="P28" s="8">
        <f t="shared" si="0"/>
        <v>3.3980582524271843E-2</v>
      </c>
      <c r="Q28" s="8">
        <f t="shared" si="0"/>
        <v>-1.0101010101010102E-2</v>
      </c>
      <c r="R28" s="8">
        <f t="shared" si="0"/>
        <v>-3.717472118959161E-3</v>
      </c>
      <c r="S28" s="8">
        <f t="shared" si="0"/>
        <v>7.29483282674772E-2</v>
      </c>
      <c r="T28" s="8">
        <f t="shared" si="0"/>
        <v>1.4778325123152743E-2</v>
      </c>
      <c r="U28" s="8">
        <f t="shared" si="0"/>
        <v>1.0416666666666666E-2</v>
      </c>
      <c r="V28" s="8">
        <f t="shared" si="0"/>
        <v>8.7301587301587269E-2</v>
      </c>
      <c r="W28" s="8">
        <f t="shared" si="0"/>
        <v>3.7974683544303799E-2</v>
      </c>
      <c r="X28" s="8">
        <f t="shared" si="0"/>
        <v>0.10344827586206896</v>
      </c>
      <c r="Y28" s="8">
        <f t="shared" si="0"/>
        <v>0.125</v>
      </c>
      <c r="Z28" s="8">
        <f t="shared" si="0"/>
        <v>4.4943820224719142E-2</v>
      </c>
      <c r="AA28" s="8">
        <f t="shared" si="0"/>
        <v>0</v>
      </c>
      <c r="AB28" s="8">
        <f t="shared" si="0"/>
        <v>2.3809523809523808E-2</v>
      </c>
      <c r="AC28" s="8">
        <f t="shared" si="0"/>
        <v>0</v>
      </c>
      <c r="AD28" s="8">
        <f t="shared" si="0"/>
        <v>1.7857142857142856E-2</v>
      </c>
      <c r="AE28" s="8">
        <f t="shared" si="0"/>
        <v>0.12878787878787878</v>
      </c>
      <c r="AF28" s="8">
        <f t="shared" si="0"/>
        <v>0.73684210526315785</v>
      </c>
      <c r="AG28" s="8">
        <f t="shared" si="0"/>
        <v>0.18478260869565211</v>
      </c>
      <c r="AH28" s="8">
        <f t="shared" si="0"/>
        <v>0.90131578947368418</v>
      </c>
      <c r="AI28" s="8">
        <f t="shared" si="0"/>
        <v>0.75986842105263153</v>
      </c>
      <c r="AJ28" s="8">
        <f t="shared" si="0"/>
        <v>0.90131578947368418</v>
      </c>
      <c r="AK28" s="8">
        <f t="shared" si="0"/>
        <v>0.34210526315789475</v>
      </c>
      <c r="AL28" s="8">
        <f t="shared" si="0"/>
        <v>0.60855263157894735</v>
      </c>
      <c r="AM28" s="8">
        <f t="shared" si="0"/>
        <v>0</v>
      </c>
      <c r="AN28" s="8">
        <f t="shared" ref="AN28:AS28" si="1">(AN26-AN21)/AN26</f>
        <v>-9.7719869706840625E-3</v>
      </c>
      <c r="AO28" s="8">
        <f t="shared" si="1"/>
        <v>0</v>
      </c>
      <c r="AP28" s="8">
        <f t="shared" si="1"/>
        <v>3.553299492385787E-2</v>
      </c>
      <c r="AQ28" s="8">
        <f t="shared" si="1"/>
        <v>8.1081081081081086E-2</v>
      </c>
      <c r="AR28" s="8">
        <f t="shared" si="1"/>
        <v>7.407407407407407E-2</v>
      </c>
      <c r="AS28" s="8">
        <f t="shared" si="1"/>
        <v>2.2004889975550088E-2</v>
      </c>
      <c r="AT28" s="8">
        <f t="shared" ref="AT28:AY28" si="2">(AT26-AT21)/AT26</f>
        <v>3.7383177570093455E-2</v>
      </c>
      <c r="AU28" s="8">
        <f t="shared" si="2"/>
        <v>8.7837837837837884E-2</v>
      </c>
      <c r="AV28" s="8">
        <f t="shared" si="2"/>
        <v>4.5454545454545456E-2</v>
      </c>
      <c r="AW28" s="8">
        <f t="shared" si="2"/>
        <v>9.433962264150943E-3</v>
      </c>
      <c r="AX28" s="8">
        <f t="shared" si="2"/>
        <v>0.12698412698412698</v>
      </c>
      <c r="AY28" s="8">
        <f t="shared" si="2"/>
        <v>2.5974025974025976E-2</v>
      </c>
      <c r="AZ28" s="8">
        <f>(AZ26-AZ21)/AZ26</f>
        <v>0.76623376623376627</v>
      </c>
      <c r="BA28" s="8">
        <f>(BA26-BA21)/BA26</f>
        <v>1.4869888475836378E-2</v>
      </c>
      <c r="BB28" s="8">
        <f>(BB26-BB21)/BB26</f>
        <v>4.0920716112532007E-2</v>
      </c>
      <c r="BC28" s="8">
        <f>(BC26-BC21)/BC26</f>
        <v>2.4390243902439025E-2</v>
      </c>
      <c r="BD28" s="8">
        <f>(BD26-BD21)/BD26</f>
        <v>9.8765432098765427E-2</v>
      </c>
    </row>
    <row r="29" spans="2:56" x14ac:dyDescent="0.35">
      <c r="B29" s="225"/>
      <c r="C29" t="s">
        <v>637</v>
      </c>
      <c r="D29" s="8">
        <f>D27*SQRT(D24/52)</f>
        <v>2.2188007849009168E-2</v>
      </c>
      <c r="E29" s="8">
        <f t="shared" ref="E29:AN29" si="3">E27*SQRT(E24/52)</f>
        <v>6.5177273056464424E-2</v>
      </c>
      <c r="F29" s="8">
        <f t="shared" si="3"/>
        <v>0.52603012490511647</v>
      </c>
      <c r="G29" s="8">
        <f t="shared" si="3"/>
        <v>4.3234601527373524E-2</v>
      </c>
      <c r="H29" s="8">
        <f t="shared" si="3"/>
        <v>0.1032826592042812</v>
      </c>
      <c r="I29" s="8">
        <f t="shared" si="3"/>
        <v>0.10400628679223047</v>
      </c>
      <c r="J29" s="8">
        <f t="shared" si="3"/>
        <v>5.8834840541455213E-2</v>
      </c>
      <c r="K29" s="8">
        <f t="shared" si="3"/>
        <v>3.5300904324873129E-2</v>
      </c>
      <c r="L29" s="8">
        <f t="shared" si="3"/>
        <v>0.10394155162323755</v>
      </c>
      <c r="M29" s="8">
        <f t="shared" si="3"/>
        <v>4.3234601527373524E-2</v>
      </c>
      <c r="N29" s="8">
        <f t="shared" si="3"/>
        <v>0.12009611535381536</v>
      </c>
      <c r="O29" s="8">
        <f t="shared" si="3"/>
        <v>7.0601808649746259E-2</v>
      </c>
      <c r="P29" s="8">
        <f t="shared" si="3"/>
        <v>2.357475833957224E-2</v>
      </c>
      <c r="Q29" s="8">
        <f t="shared" si="3"/>
        <v>0.12009611535381536</v>
      </c>
      <c r="R29" s="8">
        <f t="shared" si="3"/>
        <v>9.5111270868146053E-2</v>
      </c>
      <c r="S29" s="8">
        <f t="shared" si="3"/>
        <v>0.13155870289605437</v>
      </c>
      <c r="T29" s="8">
        <f t="shared" si="3"/>
        <v>4.8038446141526144E-2</v>
      </c>
      <c r="U29" s="8">
        <f t="shared" si="3"/>
        <v>0.16911534525287764</v>
      </c>
      <c r="V29" s="8">
        <f t="shared" si="3"/>
        <v>2.4961508830135311E-2</v>
      </c>
      <c r="W29" s="8">
        <f t="shared" si="3"/>
        <v>2.5495097567963927E-2</v>
      </c>
      <c r="X29" s="8">
        <f t="shared" si="3"/>
        <v>2.4961508830135311E-2</v>
      </c>
      <c r="Y29" s="8">
        <f t="shared" si="3"/>
        <v>2.4961508830135311E-2</v>
      </c>
      <c r="Z29" s="8">
        <f t="shared" si="3"/>
        <v>3.5300904324873129E-2</v>
      </c>
      <c r="AA29" s="8">
        <f t="shared" si="3"/>
        <v>0.13671981455629498</v>
      </c>
      <c r="AB29" s="8">
        <f t="shared" si="3"/>
        <v>2.4961508830135311E-2</v>
      </c>
      <c r="AC29" s="8">
        <f t="shared" si="3"/>
        <v>3.137858162210945E-2</v>
      </c>
      <c r="AD29" s="8">
        <f t="shared" si="3"/>
        <v>2.7735009811261459E-2</v>
      </c>
      <c r="AE29" s="8">
        <f t="shared" si="3"/>
        <v>0.14708710135363803</v>
      </c>
      <c r="AF29" s="8">
        <f t="shared" si="3"/>
        <v>4.3234601527373524E-2</v>
      </c>
      <c r="AG29" s="8">
        <f t="shared" si="3"/>
        <v>0.12009611535381536</v>
      </c>
      <c r="AH29" s="8">
        <f t="shared" si="3"/>
        <v>0.1320838894269617</v>
      </c>
      <c r="AI29" s="8">
        <f t="shared" si="3"/>
        <v>2.4961508830135311E-2</v>
      </c>
      <c r="AJ29" s="8">
        <f t="shared" si="3"/>
        <v>4.3234601527373524E-2</v>
      </c>
      <c r="AK29" s="8">
        <f t="shared" si="3"/>
        <v>4.3234601527373524E-2</v>
      </c>
      <c r="AL29" s="8">
        <f t="shared" si="3"/>
        <v>2.4961508830135311E-2</v>
      </c>
      <c r="AM29" s="8">
        <f t="shared" si="3"/>
        <v>0.13671981455629498</v>
      </c>
      <c r="AN29" s="8">
        <f t="shared" si="3"/>
        <v>3.137858162210945E-2</v>
      </c>
      <c r="AO29" s="8">
        <f t="shared" ref="AO29:AU29" si="4">AO27*SQRT(AO24/52)</f>
        <v>0.10190493307301361</v>
      </c>
      <c r="AP29" s="8">
        <f t="shared" si="4"/>
        <v>6.9337524528153643E-2</v>
      </c>
      <c r="AQ29" s="8">
        <f t="shared" si="4"/>
        <v>0.16641005886756874</v>
      </c>
      <c r="AR29" s="8">
        <f t="shared" si="4"/>
        <v>0.16641005886756874</v>
      </c>
      <c r="AS29" s="8">
        <f t="shared" si="4"/>
        <v>8.4067280747670739E-2</v>
      </c>
      <c r="AT29" s="8">
        <f t="shared" si="4"/>
        <v>5.5815630565143805E-2</v>
      </c>
      <c r="AU29" s="8">
        <f t="shared" si="4"/>
        <v>0.11289034843258643</v>
      </c>
      <c r="AV29" s="8">
        <f t="shared" ref="AV29:BB29" si="5">AV27*SQRT(AV24/52)</f>
        <v>4.7149516679144479E-2</v>
      </c>
      <c r="AW29" s="8">
        <f t="shared" si="5"/>
        <v>2.9417420270727607E-2</v>
      </c>
      <c r="AX29" s="8">
        <f t="shared" si="5"/>
        <v>0.12009611535381536</v>
      </c>
      <c r="AY29" s="8">
        <f t="shared" si="5"/>
        <v>0.15504341823651058</v>
      </c>
      <c r="AZ29" s="8">
        <f t="shared" si="5"/>
        <v>0.15504341823651058</v>
      </c>
      <c r="BA29" s="8">
        <f t="shared" si="5"/>
        <v>4.9029033784546011E-2</v>
      </c>
      <c r="BB29" s="8">
        <f t="shared" si="5"/>
        <v>8.4920777560844679E-2</v>
      </c>
      <c r="BC29" s="8">
        <f t="shared" ref="BC29:BD29" si="6">BC27*SQRT(BC24/52)</f>
        <v>8.4067280747670739E-2</v>
      </c>
      <c r="BD29" s="8">
        <f t="shared" si="6"/>
        <v>0.11094003924504584</v>
      </c>
    </row>
    <row r="30" spans="2:56" x14ac:dyDescent="0.35">
      <c r="B30" s="225"/>
      <c r="C30" t="s">
        <v>636</v>
      </c>
      <c r="D30" s="71">
        <f>D26*D27*SQRT(D24/52)</f>
        <v>20.967667417313663</v>
      </c>
      <c r="E30" s="71">
        <f t="shared" ref="E30:AU30" si="7">E26*E27*SQRT(E24/52)</f>
        <v>63.873727595335133</v>
      </c>
      <c r="F30" s="71">
        <f t="shared" si="7"/>
        <v>184.11054371679074</v>
      </c>
      <c r="G30" s="71">
        <f t="shared" si="7"/>
        <v>6.571659432160776</v>
      </c>
      <c r="H30" s="71">
        <f t="shared" si="7"/>
        <v>15.389116221437899</v>
      </c>
      <c r="I30" s="71">
        <f t="shared" si="7"/>
        <v>16.536999599964645</v>
      </c>
      <c r="J30" s="71">
        <f t="shared" si="7"/>
        <v>7.5308595893062673</v>
      </c>
      <c r="K30" s="71">
        <f t="shared" si="7"/>
        <v>3.671294049786805</v>
      </c>
      <c r="L30" s="71">
        <f t="shared" si="7"/>
        <v>3.7938666342481708</v>
      </c>
      <c r="M30" s="71">
        <f t="shared" si="7"/>
        <v>3.718175731354123</v>
      </c>
      <c r="N30" s="71">
        <f t="shared" si="7"/>
        <v>2.7622106531377533</v>
      </c>
      <c r="O30" s="71">
        <f t="shared" si="7"/>
        <v>1.1296289383959401</v>
      </c>
      <c r="P30" s="71">
        <f t="shared" si="7"/>
        <v>2.4282001089759406</v>
      </c>
      <c r="Q30" s="71">
        <f t="shared" si="7"/>
        <v>5.9447577100138602</v>
      </c>
      <c r="R30" s="71">
        <f t="shared" si="7"/>
        <v>5.1169863727062568</v>
      </c>
      <c r="S30" s="71">
        <f t="shared" si="7"/>
        <v>21.641406626400943</v>
      </c>
      <c r="T30" s="71">
        <f t="shared" si="7"/>
        <v>0.97518045667298081</v>
      </c>
      <c r="U30" s="71">
        <f t="shared" si="7"/>
        <v>16.235073144276253</v>
      </c>
      <c r="V30" s="71">
        <f t="shared" si="7"/>
        <v>1.2580600450388195</v>
      </c>
      <c r="W30" s="71">
        <f t="shared" si="7"/>
        <v>1.0070563539345749</v>
      </c>
      <c r="X30" s="71">
        <f t="shared" si="7"/>
        <v>7.2388375607392401</v>
      </c>
      <c r="Y30" s="71">
        <f t="shared" si="7"/>
        <v>0.29953810596162378</v>
      </c>
      <c r="Z30" s="71">
        <f t="shared" si="7"/>
        <v>0.31417804849137088</v>
      </c>
      <c r="AA30" s="71">
        <f t="shared" si="7"/>
        <v>6.1523916550332745</v>
      </c>
      <c r="AB30" s="71">
        <f t="shared" si="7"/>
        <v>5.2419168543284149</v>
      </c>
      <c r="AC30" s="71">
        <f t="shared" si="7"/>
        <v>1.1296289383959401</v>
      </c>
      <c r="AD30" s="71">
        <f t="shared" si="7"/>
        <v>1.5531605494306417</v>
      </c>
      <c r="AE30" s="71">
        <f t="shared" si="7"/>
        <v>19.415497378680222</v>
      </c>
      <c r="AF30" s="71">
        <f t="shared" si="7"/>
        <v>6.571659432160776</v>
      </c>
      <c r="AG30" s="71">
        <f t="shared" si="7"/>
        <v>2.2097685225102022</v>
      </c>
      <c r="AH30" s="71">
        <f t="shared" si="7"/>
        <v>20.076751192898179</v>
      </c>
      <c r="AI30" s="71">
        <f t="shared" si="7"/>
        <v>3.7941493421805674</v>
      </c>
      <c r="AJ30" s="71">
        <f t="shared" si="7"/>
        <v>6.571659432160776</v>
      </c>
      <c r="AK30" s="71">
        <f t="shared" si="7"/>
        <v>6.571659432160776</v>
      </c>
      <c r="AL30" s="71">
        <f t="shared" si="7"/>
        <v>3.7941493421805674</v>
      </c>
      <c r="AM30" s="71">
        <f t="shared" si="7"/>
        <v>0.6835990727814748</v>
      </c>
      <c r="AN30" s="71">
        <f t="shared" si="7"/>
        <v>0.96332245579875997</v>
      </c>
      <c r="AO30" s="71">
        <f t="shared" si="7"/>
        <v>2.2419085276062996</v>
      </c>
      <c r="AP30" s="71">
        <f t="shared" si="7"/>
        <v>6.829746166023134</v>
      </c>
      <c r="AQ30" s="71">
        <f t="shared" si="7"/>
        <v>6.1571721781000432</v>
      </c>
      <c r="AR30" s="71">
        <f t="shared" si="7"/>
        <v>17.972286357697424</v>
      </c>
      <c r="AS30" s="71">
        <f t="shared" si="7"/>
        <v>1.7191758912898665</v>
      </c>
      <c r="AT30" s="71">
        <f t="shared" si="7"/>
        <v>5.9722724704703865</v>
      </c>
      <c r="AU30" s="71">
        <f t="shared" si="7"/>
        <v>1.6707771568022791</v>
      </c>
      <c r="AV30" s="71">
        <f t="shared" ref="AV30:BB30" si="8">AV26*AV27*SQRT(AV24/52)</f>
        <v>7.2610255685882503</v>
      </c>
      <c r="AW30" s="71">
        <f t="shared" si="8"/>
        <v>1.559123274348563</v>
      </c>
      <c r="AX30" s="71">
        <f t="shared" si="8"/>
        <v>7.5660552672903671</v>
      </c>
      <c r="AY30" s="71">
        <f t="shared" si="8"/>
        <v>5.9691716021056571</v>
      </c>
      <c r="AZ30" s="71">
        <f t="shared" si="8"/>
        <v>5.9691716021056571</v>
      </c>
      <c r="BA30" s="71">
        <f t="shared" si="8"/>
        <v>2.6377620176085754</v>
      </c>
      <c r="BB30" s="71">
        <f t="shared" si="8"/>
        <v>0.66408048052580537</v>
      </c>
      <c r="BC30" s="71">
        <f t="shared" ref="BC30:BD30" si="9">BC26*BC27*SQRT(BC24/52)</f>
        <v>5.1701377659817505</v>
      </c>
      <c r="BD30" s="71">
        <f t="shared" si="9"/>
        <v>22.465357947121781</v>
      </c>
    </row>
    <row r="31" spans="2:56" x14ac:dyDescent="0.35">
      <c r="B31" s="225"/>
      <c r="C31" t="s">
        <v>679</v>
      </c>
      <c r="D31" s="71">
        <f>D26-D26*D27*SQRT(D24/50)</f>
        <v>923.61709093691877</v>
      </c>
      <c r="E31" s="71">
        <f t="shared" ref="E31:AM31" si="10">E26-E26*E27*SQRT(E24/50)</f>
        <v>914.86132331709518</v>
      </c>
      <c r="F31" s="71">
        <f t="shared" si="10"/>
        <v>162.2433489859813</v>
      </c>
      <c r="G31" s="71">
        <f t="shared" si="10"/>
        <v>145.29819606374522</v>
      </c>
      <c r="H31" s="71">
        <f t="shared" si="10"/>
        <v>133.30611921798817</v>
      </c>
      <c r="I31" s="71">
        <f t="shared" si="10"/>
        <v>142.13550326870083</v>
      </c>
      <c r="J31" s="71">
        <f t="shared" si="10"/>
        <v>120.32</v>
      </c>
      <c r="K31" s="71">
        <f t="shared" si="10"/>
        <v>100.256</v>
      </c>
      <c r="L31" s="71">
        <f t="shared" si="10"/>
        <v>32.631</v>
      </c>
      <c r="M31" s="71">
        <f t="shared" si="10"/>
        <v>82.208189878171638</v>
      </c>
      <c r="N31" s="71">
        <f t="shared" si="10"/>
        <v>20.183086795799344</v>
      </c>
      <c r="O31" s="71">
        <f t="shared" si="10"/>
        <v>14.848000000000001</v>
      </c>
      <c r="P31" s="71">
        <f t="shared" si="10"/>
        <v>100.52371205228471</v>
      </c>
      <c r="Q31" s="71">
        <f t="shared" si="10"/>
        <v>43.437512886611636</v>
      </c>
      <c r="R31" s="71">
        <f t="shared" si="10"/>
        <v>48.581677326956481</v>
      </c>
      <c r="S31" s="71">
        <f t="shared" si="10"/>
        <v>142.43000906207709</v>
      </c>
      <c r="T31" s="71">
        <f t="shared" si="10"/>
        <v>19.305507164430029</v>
      </c>
      <c r="U31" s="71">
        <f t="shared" si="10"/>
        <v>79.443409046545838</v>
      </c>
      <c r="V31" s="71">
        <f t="shared" si="10"/>
        <v>49.117025456215124</v>
      </c>
      <c r="W31" s="71">
        <f t="shared" si="10"/>
        <v>38.472999999999999</v>
      </c>
      <c r="X31" s="71">
        <f t="shared" si="10"/>
        <v>282.61780520441243</v>
      </c>
      <c r="Y31" s="71">
        <f t="shared" si="10"/>
        <v>11.694529870527411</v>
      </c>
      <c r="Z31" s="71">
        <f t="shared" si="10"/>
        <v>8.579600000000001</v>
      </c>
      <c r="AA31" s="71">
        <f t="shared" si="10"/>
        <v>38.725766979143984</v>
      </c>
      <c r="AB31" s="71">
        <f t="shared" si="10"/>
        <v>204.65427273422969</v>
      </c>
      <c r="AC31" s="71">
        <f t="shared" si="10"/>
        <v>34.847999999999999</v>
      </c>
      <c r="AD31" s="71">
        <f t="shared" si="10"/>
        <v>54.416080810142134</v>
      </c>
      <c r="AE31" s="71">
        <f t="shared" si="10"/>
        <v>112.2</v>
      </c>
      <c r="AF31" s="71">
        <f t="shared" si="10"/>
        <v>145.29819606374522</v>
      </c>
      <c r="AG31" s="71">
        <f t="shared" si="10"/>
        <v>16.146469436639475</v>
      </c>
      <c r="AH31" s="71">
        <f t="shared" si="10"/>
        <v>131.525650779573</v>
      </c>
      <c r="AI31" s="71">
        <f t="shared" si="10"/>
        <v>148.13071169334722</v>
      </c>
      <c r="AJ31" s="71">
        <f t="shared" si="10"/>
        <v>145.29819606374522</v>
      </c>
      <c r="AK31" s="71">
        <f t="shared" si="10"/>
        <v>145.29819606374522</v>
      </c>
      <c r="AL31" s="71">
        <f t="shared" si="10"/>
        <v>148.13071169334722</v>
      </c>
      <c r="AM31" s="71">
        <f t="shared" si="10"/>
        <v>4.3028629976826647</v>
      </c>
      <c r="AN31" s="71">
        <f t="shared" ref="AN31:AS31" si="11">AN26-AN26*AN27*SQRT(AN24/50)</f>
        <v>29.717600000000001</v>
      </c>
      <c r="AO31" s="71">
        <f t="shared" si="11"/>
        <v>19.713692934009082</v>
      </c>
      <c r="AP31" s="71">
        <f t="shared" si="11"/>
        <v>91.534998205312505</v>
      </c>
      <c r="AQ31" s="71">
        <f t="shared" si="11"/>
        <v>30.720891783063458</v>
      </c>
      <c r="AR31" s="71">
        <f t="shared" si="11"/>
        <v>89.671792231644687</v>
      </c>
      <c r="AS31" s="71">
        <f t="shared" si="11"/>
        <v>18.696777716602941</v>
      </c>
      <c r="AT31" s="71">
        <f t="shared" ref="AT31:AY31" si="12">AT26-AT26*AT27*SQRT(AT24/50)</f>
        <v>100.90945322651571</v>
      </c>
      <c r="AU31" s="71">
        <f t="shared" si="12"/>
        <v>13.096134934920022</v>
      </c>
      <c r="AV31" s="71">
        <f t="shared" si="12"/>
        <v>146.59517778741449</v>
      </c>
      <c r="AW31" s="71">
        <f t="shared" si="12"/>
        <v>51.41</v>
      </c>
      <c r="AX31" s="71">
        <f t="shared" si="12"/>
        <v>55.28410731023299</v>
      </c>
      <c r="AY31" s="71">
        <f t="shared" si="12"/>
        <v>32.412615504175868</v>
      </c>
      <c r="AZ31" s="71">
        <f>AZ26-AZ26*AZ27*SQRT(AZ24/50)</f>
        <v>32.412615504175868</v>
      </c>
      <c r="BA31" s="71">
        <f>BA26-BA26*BA27*SQRT(BA24/50)</f>
        <v>51.11</v>
      </c>
      <c r="BB31" s="71">
        <f>BB26-BB26*BB27*SQRT(BB24/50)</f>
        <v>7.1427681342405691</v>
      </c>
      <c r="BC31" s="71">
        <f>BC26-BC26*BC27*SQRT(BC24/50)</f>
        <v>56.227473328659208</v>
      </c>
      <c r="BD31" s="71">
        <f>BD26-BD26*BD27*SQRT(BD24/50)</f>
        <v>179.58974028955586</v>
      </c>
    </row>
    <row r="32" spans="2:56" x14ac:dyDescent="0.35">
      <c r="B32" s="225"/>
      <c r="C32" t="s">
        <v>681</v>
      </c>
      <c r="D32" s="8">
        <f>1-_xlfn.NORM.DIST(D28/D29,0,1,TRUE)</f>
        <v>0.20196631327314096</v>
      </c>
      <c r="E32" s="8">
        <f t="shared" ref="E32:AM32" si="13">1-_xlfn.NORM.DIST(E28/E29,0,1,TRUE)</f>
        <v>0.2405560521116612</v>
      </c>
      <c r="F32" s="8">
        <f t="shared" si="13"/>
        <v>0.41400256075382069</v>
      </c>
      <c r="G32" s="8">
        <f t="shared" si="13"/>
        <v>0</v>
      </c>
      <c r="H32" s="8">
        <f t="shared" si="13"/>
        <v>0.39746121518274868</v>
      </c>
      <c r="I32" s="8">
        <f t="shared" si="13"/>
        <v>0.29314017562635475</v>
      </c>
      <c r="J32" s="8">
        <f t="shared" si="13"/>
        <v>0.34518208781644688</v>
      </c>
      <c r="K32" s="8">
        <f t="shared" si="13"/>
        <v>0.13795921642396736</v>
      </c>
      <c r="L32" s="8">
        <f t="shared" si="13"/>
        <v>0.34628308018074971</v>
      </c>
      <c r="M32" s="8">
        <f t="shared" si="13"/>
        <v>5.3296845819479466E-2</v>
      </c>
      <c r="N32" s="8">
        <f t="shared" si="13"/>
        <v>0.3586652284659414</v>
      </c>
      <c r="O32" s="8">
        <f t="shared" si="13"/>
        <v>0.32901914269898613</v>
      </c>
      <c r="P32" s="8">
        <f t="shared" si="13"/>
        <v>7.4736299160584996E-2</v>
      </c>
      <c r="Q32" s="8">
        <f t="shared" si="13"/>
        <v>0.53351460550543439</v>
      </c>
      <c r="R32" s="8">
        <f t="shared" si="13"/>
        <v>0.5155888915394724</v>
      </c>
      <c r="S32" s="8">
        <f t="shared" si="13"/>
        <v>0.28962088160441923</v>
      </c>
      <c r="T32" s="8">
        <f t="shared" si="13"/>
        <v>0.37917990183567474</v>
      </c>
      <c r="U32" s="8">
        <f t="shared" si="13"/>
        <v>0.47544266297814552</v>
      </c>
      <c r="V32" s="8">
        <f t="shared" si="13"/>
        <v>2.3486585061027743E-4</v>
      </c>
      <c r="W32" s="8">
        <f t="shared" si="13"/>
        <v>6.8179240503911442E-2</v>
      </c>
      <c r="X32" s="8">
        <f t="shared" si="13"/>
        <v>1.7041786017912841E-5</v>
      </c>
      <c r="Y32" s="8">
        <f t="shared" si="13"/>
        <v>2.7540705460626924E-7</v>
      </c>
      <c r="Z32" s="8">
        <f t="shared" si="13"/>
        <v>0.10148002829709013</v>
      </c>
      <c r="AA32" s="8">
        <f t="shared" si="13"/>
        <v>0.5</v>
      </c>
      <c r="AB32" s="8">
        <f t="shared" si="13"/>
        <v>0.17007990340693613</v>
      </c>
      <c r="AC32" s="8">
        <f t="shared" si="13"/>
        <v>0.5</v>
      </c>
      <c r="AD32" s="8">
        <f t="shared" si="13"/>
        <v>0.25983685881375562</v>
      </c>
      <c r="AE32" s="8">
        <f t="shared" si="13"/>
        <v>0.19062669681232092</v>
      </c>
      <c r="AF32" s="8">
        <f t="shared" si="13"/>
        <v>0</v>
      </c>
      <c r="AG32" s="8">
        <f t="shared" si="13"/>
        <v>6.1948217316666665E-2</v>
      </c>
      <c r="AH32" s="8">
        <f t="shared" si="13"/>
        <v>4.4327874704208625E-12</v>
      </c>
      <c r="AI32" s="8">
        <f t="shared" si="13"/>
        <v>0</v>
      </c>
      <c r="AJ32" s="8">
        <f t="shared" si="13"/>
        <v>0</v>
      </c>
      <c r="AK32" s="8">
        <f t="shared" si="13"/>
        <v>0</v>
      </c>
      <c r="AL32" s="8">
        <f t="shared" si="13"/>
        <v>0</v>
      </c>
      <c r="AM32" s="8">
        <f t="shared" si="13"/>
        <v>0.5</v>
      </c>
      <c r="AN32" s="8">
        <f t="shared" ref="AN32:AS32" si="14">1-_xlfn.NORM.DIST(AN28/AN29,0,1,TRUE)</f>
        <v>0.62226016096787307</v>
      </c>
      <c r="AO32" s="8">
        <f t="shared" si="14"/>
        <v>0.5</v>
      </c>
      <c r="AP32" s="8">
        <f t="shared" si="14"/>
        <v>0.3041631054538777</v>
      </c>
      <c r="AQ32" s="8">
        <f t="shared" si="14"/>
        <v>0.31304531467867269</v>
      </c>
      <c r="AR32" s="8">
        <f t="shared" si="14"/>
        <v>0.32811298185631976</v>
      </c>
      <c r="AS32" s="8">
        <f t="shared" si="14"/>
        <v>0.39675581426382256</v>
      </c>
      <c r="AT32" s="8">
        <f t="shared" ref="AT32:AY32" si="15">1-_xlfn.NORM.DIST(AT28/AT29,0,1,TRUE)</f>
        <v>0.25150482219996118</v>
      </c>
      <c r="AU32" s="8">
        <f t="shared" si="15"/>
        <v>0.21826062459204554</v>
      </c>
      <c r="AV32" s="8">
        <f t="shared" si="15"/>
        <v>0.16751014279042042</v>
      </c>
      <c r="AW32" s="8">
        <f t="shared" si="15"/>
        <v>0.37422150687512601</v>
      </c>
      <c r="AX32" s="8">
        <f t="shared" si="15"/>
        <v>0.1451749923225506</v>
      </c>
      <c r="AY32" s="8">
        <f t="shared" si="15"/>
        <v>0.43347753177265413</v>
      </c>
      <c r="AZ32" s="8">
        <f>1-_xlfn.NORM.DIST(AZ28/AZ29,0,1,TRUE)</f>
        <v>3.8650848166454921E-7</v>
      </c>
      <c r="BA32" s="8">
        <f>1-_xlfn.NORM.DIST(BA28/BA29,0,1,TRUE)</f>
        <v>0.38083542151754568</v>
      </c>
      <c r="BB32" s="8">
        <f>1-_xlfn.NORM.DIST(BB28/BB29,0,1,TRUE)</f>
        <v>0.31494939603579886</v>
      </c>
      <c r="BC32" s="8">
        <f>1-_xlfn.NORM.DIST(BC28/BC29,0,1,TRUE)</f>
        <v>0.3858592858177734</v>
      </c>
      <c r="BD32" s="8">
        <f>1-_xlfn.NORM.DIST(BD28/BD29,0,1,TRUE)</f>
        <v>0.18666326128350086</v>
      </c>
    </row>
    <row r="33" spans="2:56" x14ac:dyDescent="0.35">
      <c r="B33" s="225"/>
      <c r="C33" t="s">
        <v>654</v>
      </c>
      <c r="D33" s="8">
        <f>1-D32</f>
        <v>0.79803368672685904</v>
      </c>
      <c r="E33" s="8">
        <f t="shared" ref="E33:AN33" si="16">1-E32</f>
        <v>0.7594439478883388</v>
      </c>
      <c r="F33" s="8">
        <f t="shared" si="16"/>
        <v>0.58599743924617931</v>
      </c>
      <c r="G33" s="8">
        <f t="shared" si="16"/>
        <v>1</v>
      </c>
      <c r="H33" s="8">
        <f t="shared" si="16"/>
        <v>0.60253878481725132</v>
      </c>
      <c r="I33" s="8">
        <f t="shared" si="16"/>
        <v>0.70685982437364525</v>
      </c>
      <c r="J33" s="8">
        <f t="shared" si="16"/>
        <v>0.65481791218355312</v>
      </c>
      <c r="K33" s="8">
        <f t="shared" si="16"/>
        <v>0.86204078357603264</v>
      </c>
      <c r="L33" s="8">
        <f t="shared" si="16"/>
        <v>0.65371691981925029</v>
      </c>
      <c r="M33" s="8">
        <f t="shared" si="16"/>
        <v>0.94670315418052053</v>
      </c>
      <c r="N33" s="8">
        <f t="shared" si="16"/>
        <v>0.6413347715340586</v>
      </c>
      <c r="O33" s="8">
        <f t="shared" si="16"/>
        <v>0.67098085730101387</v>
      </c>
      <c r="P33" s="8">
        <f t="shared" si="16"/>
        <v>0.925263700839415</v>
      </c>
      <c r="Q33" s="8">
        <f t="shared" si="16"/>
        <v>0.46648539449456561</v>
      </c>
      <c r="R33" s="8">
        <f t="shared" si="16"/>
        <v>0.4844111084605276</v>
      </c>
      <c r="S33" s="8">
        <f t="shared" si="16"/>
        <v>0.71037911839558077</v>
      </c>
      <c r="T33" s="8">
        <f t="shared" si="16"/>
        <v>0.62082009816432526</v>
      </c>
      <c r="U33" s="8">
        <f t="shared" si="16"/>
        <v>0.52455733702185448</v>
      </c>
      <c r="V33" s="8">
        <f t="shared" si="16"/>
        <v>0.99976513414938972</v>
      </c>
      <c r="W33" s="8">
        <f t="shared" si="16"/>
        <v>0.93182075949608856</v>
      </c>
      <c r="X33" s="8">
        <f t="shared" si="16"/>
        <v>0.99998295821398209</v>
      </c>
      <c r="Y33" s="8">
        <f t="shared" si="16"/>
        <v>0.99999972459294539</v>
      </c>
      <c r="Z33" s="8">
        <f t="shared" si="16"/>
        <v>0.89851997170290987</v>
      </c>
      <c r="AA33" s="8">
        <f t="shared" si="16"/>
        <v>0.5</v>
      </c>
      <c r="AB33" s="8">
        <f t="shared" si="16"/>
        <v>0.82992009659306387</v>
      </c>
      <c r="AC33" s="8">
        <f t="shared" si="16"/>
        <v>0.5</v>
      </c>
      <c r="AD33" s="8">
        <f t="shared" si="16"/>
        <v>0.74016314118624438</v>
      </c>
      <c r="AE33" s="8">
        <f t="shared" si="16"/>
        <v>0.80937330318767908</v>
      </c>
      <c r="AF33" s="8">
        <f t="shared" si="16"/>
        <v>1</v>
      </c>
      <c r="AG33" s="8">
        <f t="shared" si="16"/>
        <v>0.93805178268333334</v>
      </c>
      <c r="AH33" s="8">
        <f t="shared" si="16"/>
        <v>0.99999999999556721</v>
      </c>
      <c r="AI33" s="8">
        <f t="shared" si="16"/>
        <v>1</v>
      </c>
      <c r="AJ33" s="8">
        <f t="shared" si="16"/>
        <v>1</v>
      </c>
      <c r="AK33" s="8">
        <f t="shared" si="16"/>
        <v>1</v>
      </c>
      <c r="AL33" s="8">
        <f t="shared" si="16"/>
        <v>1</v>
      </c>
      <c r="AM33" s="8">
        <f t="shared" si="16"/>
        <v>0.5</v>
      </c>
      <c r="AN33" s="8">
        <f t="shared" si="16"/>
        <v>0.37773983903212693</v>
      </c>
      <c r="AO33" s="8">
        <f t="shared" ref="AO33:AW33" si="17">1-AO32</f>
        <v>0.5</v>
      </c>
      <c r="AP33" s="8">
        <f t="shared" si="17"/>
        <v>0.6958368945461223</v>
      </c>
      <c r="AQ33" s="8">
        <f t="shared" si="17"/>
        <v>0.68695468532132731</v>
      </c>
      <c r="AR33" s="8">
        <f t="shared" si="17"/>
        <v>0.67188701814368024</v>
      </c>
      <c r="AS33" s="8">
        <f t="shared" si="17"/>
        <v>0.60324418573617744</v>
      </c>
      <c r="AT33" s="8">
        <f t="shared" si="17"/>
        <v>0.74849517780003882</v>
      </c>
      <c r="AU33" s="8">
        <f t="shared" si="17"/>
        <v>0.78173937540795446</v>
      </c>
      <c r="AV33" s="8">
        <f t="shared" si="17"/>
        <v>0.83248985720957958</v>
      </c>
      <c r="AW33" s="8">
        <f t="shared" si="17"/>
        <v>0.62577849312487399</v>
      </c>
      <c r="AX33" s="8">
        <f t="shared" ref="AX33:BC33" si="18">1-AX32</f>
        <v>0.8548250076774494</v>
      </c>
      <c r="AY33" s="8">
        <f t="shared" si="18"/>
        <v>0.56652246822734587</v>
      </c>
      <c r="AZ33" s="8">
        <f t="shared" si="18"/>
        <v>0.99999961349151834</v>
      </c>
      <c r="BA33" s="8">
        <f t="shared" si="18"/>
        <v>0.61916457848245432</v>
      </c>
      <c r="BB33" s="8">
        <f t="shared" si="18"/>
        <v>0.68505060396420114</v>
      </c>
      <c r="BC33" s="8">
        <f t="shared" si="18"/>
        <v>0.6141407141822266</v>
      </c>
      <c r="BD33" s="8">
        <f t="shared" ref="BD33" si="19">1-BD32</f>
        <v>0.81333673871649914</v>
      </c>
    </row>
    <row r="34" spans="2:56" x14ac:dyDescent="0.35">
      <c r="D34" s="2"/>
      <c r="E34" s="2"/>
      <c r="F34" s="2"/>
      <c r="G34" s="2"/>
      <c r="H34" s="2"/>
      <c r="I34" s="151"/>
      <c r="J34" s="2"/>
      <c r="K34" s="2"/>
      <c r="L34" s="90"/>
    </row>
    <row r="35" spans="2:56" x14ac:dyDescent="0.35">
      <c r="C35" t="s">
        <v>4</v>
      </c>
      <c r="D35" s="5">
        <f t="shared" ref="D35:AM35" si="20">100*D23</f>
        <v>100</v>
      </c>
      <c r="E35" s="5">
        <f t="shared" si="20"/>
        <v>100</v>
      </c>
      <c r="F35" s="5">
        <f t="shared" si="20"/>
        <v>100</v>
      </c>
      <c r="G35" s="5">
        <f t="shared" si="20"/>
        <v>100</v>
      </c>
      <c r="H35" s="5">
        <f t="shared" si="20"/>
        <v>100</v>
      </c>
      <c r="I35" s="5">
        <f t="shared" si="20"/>
        <v>100</v>
      </c>
      <c r="J35" s="5">
        <f t="shared" si="20"/>
        <v>100</v>
      </c>
      <c r="K35" s="5">
        <f t="shared" si="20"/>
        <v>100</v>
      </c>
      <c r="L35" s="5">
        <f t="shared" si="20"/>
        <v>100</v>
      </c>
      <c r="M35" s="5">
        <f t="shared" si="20"/>
        <v>100</v>
      </c>
      <c r="N35" s="5">
        <f>100*N23</f>
        <v>300</v>
      </c>
      <c r="O35" s="5">
        <f t="shared" si="20"/>
        <v>200</v>
      </c>
      <c r="P35" s="5">
        <f t="shared" si="20"/>
        <v>100</v>
      </c>
      <c r="Q35" s="5">
        <f t="shared" si="20"/>
        <v>100</v>
      </c>
      <c r="R35" s="5">
        <f t="shared" si="20"/>
        <v>100</v>
      </c>
      <c r="S35" s="5">
        <f t="shared" si="20"/>
        <v>100</v>
      </c>
      <c r="T35" s="5">
        <f t="shared" si="20"/>
        <v>200</v>
      </c>
      <c r="U35" s="5">
        <f t="shared" si="20"/>
        <v>100</v>
      </c>
      <c r="V35" s="5">
        <f t="shared" si="20"/>
        <v>200</v>
      </c>
      <c r="W35" s="5">
        <f t="shared" si="20"/>
        <v>600</v>
      </c>
      <c r="X35" s="5">
        <f t="shared" si="20"/>
        <v>100</v>
      </c>
      <c r="Y35" s="5">
        <f t="shared" si="20"/>
        <v>500</v>
      </c>
      <c r="Z35" s="5">
        <f t="shared" si="20"/>
        <v>1000</v>
      </c>
      <c r="AA35" s="5">
        <f t="shared" si="20"/>
        <v>200</v>
      </c>
      <c r="AB35" s="5">
        <f t="shared" si="20"/>
        <v>100</v>
      </c>
      <c r="AC35" s="5">
        <f t="shared" si="20"/>
        <v>200</v>
      </c>
      <c r="AD35" s="5">
        <f t="shared" si="20"/>
        <v>200</v>
      </c>
      <c r="AE35" s="5">
        <f t="shared" si="20"/>
        <v>100</v>
      </c>
      <c r="AF35" s="5">
        <f t="shared" si="20"/>
        <v>200</v>
      </c>
      <c r="AG35" s="5">
        <f t="shared" si="20"/>
        <v>100</v>
      </c>
      <c r="AH35" s="5">
        <f t="shared" si="20"/>
        <v>400</v>
      </c>
      <c r="AI35" s="5">
        <f t="shared" si="20"/>
        <v>200</v>
      </c>
      <c r="AJ35" s="5">
        <f t="shared" si="20"/>
        <v>300</v>
      </c>
      <c r="AK35" s="5">
        <f t="shared" si="20"/>
        <v>100</v>
      </c>
      <c r="AL35" s="5">
        <f t="shared" si="20"/>
        <v>100</v>
      </c>
      <c r="AM35" s="5">
        <f t="shared" si="20"/>
        <v>100</v>
      </c>
      <c r="AN35" s="5">
        <f t="shared" ref="AN35:AS35" si="21">100*AN23</f>
        <v>200</v>
      </c>
      <c r="AO35" s="5">
        <f t="shared" si="21"/>
        <v>200</v>
      </c>
      <c r="AP35" s="5">
        <f t="shared" si="21"/>
        <v>100</v>
      </c>
      <c r="AQ35" s="5">
        <f t="shared" si="21"/>
        <v>100</v>
      </c>
      <c r="AR35" s="5">
        <f t="shared" si="21"/>
        <v>100</v>
      </c>
      <c r="AS35" s="5">
        <f t="shared" si="21"/>
        <v>300</v>
      </c>
      <c r="AT35" s="5">
        <f t="shared" ref="AT35:AY35" si="22">100*AT23</f>
        <v>100</v>
      </c>
      <c r="AU35" s="5">
        <f t="shared" si="22"/>
        <v>400</v>
      </c>
      <c r="AV35" s="5">
        <f t="shared" si="22"/>
        <v>100</v>
      </c>
      <c r="AW35" s="5">
        <f t="shared" si="22"/>
        <v>200</v>
      </c>
      <c r="AX35" s="5">
        <f t="shared" si="22"/>
        <v>100</v>
      </c>
      <c r="AY35" s="5">
        <f t="shared" si="22"/>
        <v>100</v>
      </c>
      <c r="AZ35" s="5">
        <f>100*AZ23</f>
        <v>100</v>
      </c>
      <c r="BA35" s="5">
        <f>100*BA23</f>
        <v>100</v>
      </c>
      <c r="BB35" s="5">
        <f>100*BB23</f>
        <v>200</v>
      </c>
      <c r="BC35" s="5">
        <f>100*BC23</f>
        <v>100</v>
      </c>
      <c r="BD35" s="5">
        <f>100*BD23</f>
        <v>100</v>
      </c>
    </row>
    <row r="36" spans="2:56" x14ac:dyDescent="0.35">
      <c r="C36" t="s">
        <v>31</v>
      </c>
      <c r="D36" s="3">
        <f t="shared" ref="D36:AM36" si="23">$D$15*D23+$D$14+$D$16*D25</f>
        <v>5</v>
      </c>
      <c r="E36" s="3">
        <f t="shared" si="23"/>
        <v>5</v>
      </c>
      <c r="F36" s="3">
        <f t="shared" si="23"/>
        <v>5</v>
      </c>
      <c r="G36" s="3">
        <f t="shared" si="23"/>
        <v>5</v>
      </c>
      <c r="H36" s="3">
        <f t="shared" si="23"/>
        <v>5</v>
      </c>
      <c r="I36" s="3">
        <f t="shared" si="23"/>
        <v>5</v>
      </c>
      <c r="J36" s="3">
        <f t="shared" si="23"/>
        <v>5</v>
      </c>
      <c r="K36" s="3">
        <f t="shared" si="23"/>
        <v>5</v>
      </c>
      <c r="L36" s="3">
        <f t="shared" si="23"/>
        <v>5</v>
      </c>
      <c r="M36" s="3">
        <f t="shared" si="23"/>
        <v>5</v>
      </c>
      <c r="N36" s="3">
        <f t="shared" si="23"/>
        <v>5</v>
      </c>
      <c r="O36" s="3">
        <f t="shared" si="23"/>
        <v>5</v>
      </c>
      <c r="P36" s="3">
        <f t="shared" si="23"/>
        <v>5</v>
      </c>
      <c r="Q36" s="3">
        <f t="shared" si="23"/>
        <v>5</v>
      </c>
      <c r="R36" s="3">
        <f t="shared" si="23"/>
        <v>5</v>
      </c>
      <c r="S36" s="3">
        <f t="shared" si="23"/>
        <v>5</v>
      </c>
      <c r="T36" s="3">
        <f t="shared" si="23"/>
        <v>5</v>
      </c>
      <c r="U36" s="3">
        <f t="shared" si="23"/>
        <v>5</v>
      </c>
      <c r="V36" s="3">
        <f t="shared" si="23"/>
        <v>5</v>
      </c>
      <c r="W36" s="3">
        <f t="shared" si="23"/>
        <v>5</v>
      </c>
      <c r="X36" s="3">
        <f t="shared" si="23"/>
        <v>5</v>
      </c>
      <c r="Y36" s="3">
        <f t="shared" si="23"/>
        <v>5</v>
      </c>
      <c r="Z36" s="3">
        <f t="shared" si="23"/>
        <v>5</v>
      </c>
      <c r="AA36" s="3">
        <f t="shared" si="23"/>
        <v>5</v>
      </c>
      <c r="AB36" s="3">
        <f t="shared" si="23"/>
        <v>5</v>
      </c>
      <c r="AC36" s="3">
        <f t="shared" si="23"/>
        <v>5</v>
      </c>
      <c r="AD36" s="3">
        <f t="shared" si="23"/>
        <v>5</v>
      </c>
      <c r="AE36" s="3">
        <f t="shared" si="23"/>
        <v>5</v>
      </c>
      <c r="AF36" s="3">
        <f t="shared" si="23"/>
        <v>5</v>
      </c>
      <c r="AG36" s="3">
        <f t="shared" si="23"/>
        <v>5</v>
      </c>
      <c r="AH36" s="3">
        <f t="shared" si="23"/>
        <v>5</v>
      </c>
      <c r="AI36" s="3">
        <f t="shared" si="23"/>
        <v>5</v>
      </c>
      <c r="AJ36" s="3">
        <f t="shared" si="23"/>
        <v>5</v>
      </c>
      <c r="AK36" s="3">
        <f t="shared" si="23"/>
        <v>5</v>
      </c>
      <c r="AL36" s="3">
        <f t="shared" si="23"/>
        <v>5</v>
      </c>
      <c r="AM36" s="3">
        <f t="shared" si="23"/>
        <v>5</v>
      </c>
      <c r="AN36" s="3">
        <f t="shared" ref="AN36:AS36" si="24">$D$15*AN23+$D$14+$D$16*AN25</f>
        <v>22</v>
      </c>
      <c r="AO36" s="3">
        <f t="shared" si="24"/>
        <v>5</v>
      </c>
      <c r="AP36" s="3">
        <f t="shared" si="24"/>
        <v>5</v>
      </c>
      <c r="AQ36" s="3">
        <f t="shared" si="24"/>
        <v>5</v>
      </c>
      <c r="AR36" s="3">
        <f t="shared" si="24"/>
        <v>5</v>
      </c>
      <c r="AS36" s="3">
        <f t="shared" si="24"/>
        <v>5</v>
      </c>
      <c r="AT36" s="3">
        <f t="shared" ref="AT36:AY36" si="25">$D$15*AT23+$D$14+$D$16*AT25</f>
        <v>5</v>
      </c>
      <c r="AU36" s="3">
        <f t="shared" si="25"/>
        <v>5</v>
      </c>
      <c r="AV36" s="3">
        <f t="shared" si="25"/>
        <v>5</v>
      </c>
      <c r="AW36" s="3">
        <f t="shared" si="25"/>
        <v>5</v>
      </c>
      <c r="AX36" s="3">
        <f t="shared" si="25"/>
        <v>5</v>
      </c>
      <c r="AY36" s="3">
        <f t="shared" si="25"/>
        <v>5</v>
      </c>
      <c r="AZ36" s="3">
        <f>$D$15*AZ23+$D$14+$D$16*AZ25</f>
        <v>5</v>
      </c>
      <c r="BA36" s="3">
        <f>$D$15*BA23+$D$14+$D$16*BA25</f>
        <v>5</v>
      </c>
      <c r="BB36" s="3">
        <f>$D$15*BB23+$D$14+$D$16*BB25</f>
        <v>5</v>
      </c>
      <c r="BC36" s="3">
        <f>$D$15*BC23+$D$14+$D$16*BC25</f>
        <v>5</v>
      </c>
      <c r="BD36" s="3">
        <f>$D$15*BD23+$D$14+$D$16*BD25</f>
        <v>5</v>
      </c>
    </row>
    <row r="37" spans="2:56" x14ac:dyDescent="0.35">
      <c r="C37" t="s">
        <v>6</v>
      </c>
      <c r="D37" s="3">
        <f t="shared" ref="D37:AM37" si="26">D22*D35</f>
        <v>210</v>
      </c>
      <c r="E37" s="3">
        <f t="shared" si="26"/>
        <v>600</v>
      </c>
      <c r="F37" s="3">
        <f t="shared" si="26"/>
        <v>1500</v>
      </c>
      <c r="G37" s="3">
        <f t="shared" si="26"/>
        <v>50</v>
      </c>
      <c r="H37" s="3">
        <f t="shared" si="26"/>
        <v>118</v>
      </c>
      <c r="I37" s="3">
        <f t="shared" si="26"/>
        <v>90</v>
      </c>
      <c r="J37" s="3">
        <f t="shared" si="26"/>
        <v>130</v>
      </c>
      <c r="K37" s="3">
        <f t="shared" si="26"/>
        <v>85</v>
      </c>
      <c r="L37" s="3">
        <f t="shared" si="26"/>
        <v>60</v>
      </c>
      <c r="M37" s="3">
        <f t="shared" si="26"/>
        <v>80</v>
      </c>
      <c r="N37" s="3">
        <f t="shared" si="26"/>
        <v>51.000000000000007</v>
      </c>
      <c r="O37" s="3">
        <f t="shared" si="26"/>
        <v>30</v>
      </c>
      <c r="P37" s="3">
        <f t="shared" si="26"/>
        <v>45</v>
      </c>
      <c r="Q37" s="3">
        <f t="shared" si="26"/>
        <v>114.99999999999999</v>
      </c>
      <c r="R37" s="3">
        <f t="shared" si="26"/>
        <v>204.99999999999997</v>
      </c>
      <c r="S37" s="3">
        <f t="shared" si="26"/>
        <v>114.99999999999999</v>
      </c>
      <c r="T37" s="3">
        <f t="shared" si="26"/>
        <v>70</v>
      </c>
      <c r="U37" s="3">
        <f t="shared" si="26"/>
        <v>550</v>
      </c>
      <c r="V37" s="3">
        <f t="shared" si="26"/>
        <v>90</v>
      </c>
      <c r="W37" s="3">
        <f t="shared" si="26"/>
        <v>30</v>
      </c>
      <c r="X37" s="3">
        <f t="shared" si="26"/>
        <v>70</v>
      </c>
      <c r="Y37" s="3">
        <f t="shared" si="26"/>
        <v>75</v>
      </c>
      <c r="Z37" s="3">
        <f t="shared" si="26"/>
        <v>100</v>
      </c>
      <c r="AA37" s="3">
        <f t="shared" si="26"/>
        <v>600</v>
      </c>
      <c r="AB37" s="3">
        <f t="shared" si="26"/>
        <v>44</v>
      </c>
      <c r="AC37" s="3">
        <f t="shared" si="26"/>
        <v>120</v>
      </c>
      <c r="AD37" s="3">
        <f t="shared" si="26"/>
        <v>60</v>
      </c>
      <c r="AE37" s="3">
        <f t="shared" si="26"/>
        <v>105</v>
      </c>
      <c r="AF37" s="3">
        <f t="shared" si="26"/>
        <v>100</v>
      </c>
      <c r="AG37" s="3">
        <f t="shared" si="26"/>
        <v>10</v>
      </c>
      <c r="AH37" s="3">
        <f t="shared" si="26"/>
        <v>520</v>
      </c>
      <c r="AI37" s="3">
        <f t="shared" si="26"/>
        <v>40</v>
      </c>
      <c r="AJ37" s="3">
        <f t="shared" si="26"/>
        <v>60</v>
      </c>
      <c r="AK37" s="3">
        <f t="shared" si="26"/>
        <v>55.000000000000007</v>
      </c>
      <c r="AL37" s="3">
        <f t="shared" si="26"/>
        <v>15</v>
      </c>
      <c r="AM37" s="3">
        <f t="shared" si="26"/>
        <v>75</v>
      </c>
      <c r="AN37" s="3">
        <f t="shared" ref="AN37:AS37" si="27">AN22*AN35</f>
        <v>74</v>
      </c>
      <c r="AO37" s="3">
        <f t="shared" si="27"/>
        <v>160</v>
      </c>
      <c r="AP37" s="3">
        <f t="shared" si="27"/>
        <v>25</v>
      </c>
      <c r="AQ37" s="3">
        <f t="shared" si="27"/>
        <v>31</v>
      </c>
      <c r="AR37" s="3">
        <f t="shared" si="27"/>
        <v>140</v>
      </c>
      <c r="AS37" s="3">
        <f t="shared" si="27"/>
        <v>90</v>
      </c>
      <c r="AT37" s="3">
        <f t="shared" ref="AT37:AY37" si="28">AT22*AT35</f>
        <v>60</v>
      </c>
      <c r="AU37" s="3">
        <f t="shared" si="28"/>
        <v>80</v>
      </c>
      <c r="AV37" s="3">
        <f t="shared" si="28"/>
        <v>54</v>
      </c>
      <c r="AW37" s="3">
        <f t="shared" si="28"/>
        <v>60</v>
      </c>
      <c r="AX37" s="3">
        <f t="shared" si="28"/>
        <v>65</v>
      </c>
      <c r="AY37" s="3">
        <f t="shared" si="28"/>
        <v>160</v>
      </c>
      <c r="AZ37" s="3">
        <f>AZ22*AZ35</f>
        <v>70</v>
      </c>
      <c r="BA37" s="3">
        <f>BA22*BA35</f>
        <v>70</v>
      </c>
      <c r="BB37" s="3">
        <f>BB22*BB35</f>
        <v>57.999999999999993</v>
      </c>
      <c r="BC37" s="3">
        <f>BC22*BC35</f>
        <v>135</v>
      </c>
      <c r="BD37" s="3">
        <f>BD22*BD35</f>
        <v>110.00000000000001</v>
      </c>
    </row>
    <row r="38" spans="2:56" x14ac:dyDescent="0.35">
      <c r="C38" t="s">
        <v>28</v>
      </c>
      <c r="D38" s="3">
        <f>D37-D36</f>
        <v>205</v>
      </c>
      <c r="E38" s="3">
        <f>E37-E36</f>
        <v>595</v>
      </c>
      <c r="F38" s="3">
        <f>F37-F36</f>
        <v>1495</v>
      </c>
      <c r="G38" s="3">
        <f>G37-G36</f>
        <v>45</v>
      </c>
      <c r="H38" s="3">
        <f>H37-H36</f>
        <v>113</v>
      </c>
      <c r="I38" s="3">
        <f t="shared" ref="I38:N38" si="29">I37-I36</f>
        <v>85</v>
      </c>
      <c r="J38" s="3">
        <f t="shared" si="29"/>
        <v>125</v>
      </c>
      <c r="K38" s="3">
        <f t="shared" si="29"/>
        <v>80</v>
      </c>
      <c r="L38" s="3">
        <f t="shared" si="29"/>
        <v>55</v>
      </c>
      <c r="M38" s="3">
        <f t="shared" si="29"/>
        <v>75</v>
      </c>
      <c r="N38" s="3">
        <f t="shared" si="29"/>
        <v>46.000000000000007</v>
      </c>
      <c r="O38" s="3">
        <f t="shared" ref="O38:U38" si="30">O37-O36</f>
        <v>25</v>
      </c>
      <c r="P38" s="3">
        <f t="shared" si="30"/>
        <v>40</v>
      </c>
      <c r="Q38" s="3">
        <f t="shared" si="30"/>
        <v>109.99999999999999</v>
      </c>
      <c r="R38" s="3">
        <f t="shared" si="30"/>
        <v>199.99999999999997</v>
      </c>
      <c r="S38" s="3">
        <f t="shared" si="30"/>
        <v>109.99999999999999</v>
      </c>
      <c r="T38" s="3">
        <f t="shared" si="30"/>
        <v>65</v>
      </c>
      <c r="U38" s="3">
        <f t="shared" si="30"/>
        <v>545</v>
      </c>
      <c r="V38" s="3">
        <f t="shared" ref="V38:AE38" si="31">V37-V36</f>
        <v>85</v>
      </c>
      <c r="W38" s="3">
        <f t="shared" si="31"/>
        <v>25</v>
      </c>
      <c r="X38" s="3">
        <f t="shared" si="31"/>
        <v>65</v>
      </c>
      <c r="Y38" s="3">
        <f t="shared" si="31"/>
        <v>70</v>
      </c>
      <c r="Z38" s="3">
        <f t="shared" si="31"/>
        <v>95</v>
      </c>
      <c r="AA38" s="3">
        <f t="shared" si="31"/>
        <v>595</v>
      </c>
      <c r="AB38" s="3">
        <f t="shared" si="31"/>
        <v>39</v>
      </c>
      <c r="AC38" s="3">
        <f t="shared" si="31"/>
        <v>115</v>
      </c>
      <c r="AD38" s="3">
        <f t="shared" si="31"/>
        <v>55</v>
      </c>
      <c r="AE38" s="3">
        <f t="shared" si="31"/>
        <v>100</v>
      </c>
      <c r="AF38" s="3">
        <f t="shared" ref="AF38:AK38" si="32">AF37-AF36</f>
        <v>95</v>
      </c>
      <c r="AG38" s="3">
        <f t="shared" si="32"/>
        <v>5</v>
      </c>
      <c r="AH38" s="3">
        <f t="shared" si="32"/>
        <v>515</v>
      </c>
      <c r="AI38" s="3">
        <f t="shared" si="32"/>
        <v>35</v>
      </c>
      <c r="AJ38" s="3">
        <f t="shared" si="32"/>
        <v>55</v>
      </c>
      <c r="AK38" s="3">
        <f t="shared" si="32"/>
        <v>50.000000000000007</v>
      </c>
      <c r="AL38" s="3">
        <f t="shared" ref="AL38:AR38" si="33">AL37-AL36</f>
        <v>10</v>
      </c>
      <c r="AM38" s="3">
        <f t="shared" si="33"/>
        <v>70</v>
      </c>
      <c r="AN38" s="3">
        <f t="shared" si="33"/>
        <v>52</v>
      </c>
      <c r="AO38" s="3">
        <f t="shared" si="33"/>
        <v>155</v>
      </c>
      <c r="AP38" s="3">
        <f t="shared" si="33"/>
        <v>20</v>
      </c>
      <c r="AQ38" s="3">
        <f t="shared" si="33"/>
        <v>26</v>
      </c>
      <c r="AR38" s="3">
        <f t="shared" si="33"/>
        <v>135</v>
      </c>
      <c r="AS38" s="3">
        <f t="shared" ref="AS38:AX38" si="34">AS37-AS36</f>
        <v>85</v>
      </c>
      <c r="AT38" s="3">
        <f t="shared" si="34"/>
        <v>55</v>
      </c>
      <c r="AU38" s="3">
        <f t="shared" si="34"/>
        <v>75</v>
      </c>
      <c r="AV38" s="3">
        <f t="shared" si="34"/>
        <v>49</v>
      </c>
      <c r="AW38" s="3">
        <f t="shared" si="34"/>
        <v>55</v>
      </c>
      <c r="AX38" s="3">
        <f t="shared" si="34"/>
        <v>60</v>
      </c>
      <c r="AY38" s="3">
        <f t="shared" ref="AY38:BD38" si="35">AY37-AY36</f>
        <v>155</v>
      </c>
      <c r="AZ38" s="3">
        <f t="shared" si="35"/>
        <v>65</v>
      </c>
      <c r="BA38" s="3">
        <f t="shared" si="35"/>
        <v>65</v>
      </c>
      <c r="BB38" s="3">
        <f t="shared" si="35"/>
        <v>52.999999999999993</v>
      </c>
      <c r="BC38" s="3">
        <f t="shared" si="35"/>
        <v>130</v>
      </c>
      <c r="BD38" s="3">
        <f t="shared" si="35"/>
        <v>105.00000000000001</v>
      </c>
    </row>
    <row r="39" spans="2:56" x14ac:dyDescent="0.35">
      <c r="C39" t="s">
        <v>22</v>
      </c>
      <c r="D39" s="7">
        <f t="shared" ref="D39:AM39" si="36">D35*D21</f>
        <v>92750</v>
      </c>
      <c r="E39" s="7">
        <f t="shared" si="36"/>
        <v>93500</v>
      </c>
      <c r="F39" s="7">
        <f t="shared" si="36"/>
        <v>31000</v>
      </c>
      <c r="G39" s="7">
        <f t="shared" si="36"/>
        <v>10000</v>
      </c>
      <c r="H39" s="7">
        <f t="shared" si="36"/>
        <v>14500</v>
      </c>
      <c r="I39" s="7">
        <f t="shared" si="36"/>
        <v>15000</v>
      </c>
      <c r="J39" s="7">
        <f t="shared" si="36"/>
        <v>12500</v>
      </c>
      <c r="K39" s="7">
        <f t="shared" si="36"/>
        <v>10000</v>
      </c>
      <c r="L39" s="7">
        <f t="shared" si="36"/>
        <v>3500</v>
      </c>
      <c r="M39" s="7">
        <f t="shared" si="36"/>
        <v>8000</v>
      </c>
      <c r="N39" s="7">
        <f t="shared" si="36"/>
        <v>6600</v>
      </c>
      <c r="O39" s="7">
        <f t="shared" si="36"/>
        <v>3100</v>
      </c>
      <c r="P39" s="7">
        <f t="shared" si="36"/>
        <v>9950</v>
      </c>
      <c r="Q39" s="7">
        <f t="shared" si="36"/>
        <v>5000</v>
      </c>
      <c r="R39" s="7">
        <f t="shared" si="36"/>
        <v>5400</v>
      </c>
      <c r="S39" s="7">
        <f t="shared" si="36"/>
        <v>15250</v>
      </c>
      <c r="T39" s="7">
        <f t="shared" si="36"/>
        <v>4000</v>
      </c>
      <c r="U39" s="7">
        <f t="shared" si="36"/>
        <v>9500</v>
      </c>
      <c r="V39" s="7">
        <f t="shared" si="36"/>
        <v>9200</v>
      </c>
      <c r="W39" s="7">
        <f t="shared" si="36"/>
        <v>22800</v>
      </c>
      <c r="X39" s="7">
        <f t="shared" si="36"/>
        <v>26000</v>
      </c>
      <c r="Y39" s="7">
        <f t="shared" si="36"/>
        <v>5250</v>
      </c>
      <c r="Z39" s="7">
        <f t="shared" si="36"/>
        <v>8500</v>
      </c>
      <c r="AA39" s="7">
        <f t="shared" si="36"/>
        <v>9000</v>
      </c>
      <c r="AB39" s="7">
        <f t="shared" si="36"/>
        <v>20500</v>
      </c>
      <c r="AC39" s="7">
        <f t="shared" si="36"/>
        <v>7200</v>
      </c>
      <c r="AD39" s="7">
        <f t="shared" si="36"/>
        <v>11000</v>
      </c>
      <c r="AE39" s="7">
        <f t="shared" si="36"/>
        <v>11500</v>
      </c>
      <c r="AF39" s="7">
        <f t="shared" si="36"/>
        <v>8000</v>
      </c>
      <c r="AG39" s="7">
        <f t="shared" si="36"/>
        <v>1500</v>
      </c>
      <c r="AH39" s="7">
        <f t="shared" si="36"/>
        <v>6000</v>
      </c>
      <c r="AI39" s="7">
        <f t="shared" si="36"/>
        <v>7300</v>
      </c>
      <c r="AJ39" s="7">
        <f t="shared" si="36"/>
        <v>4500</v>
      </c>
      <c r="AK39" s="7">
        <f t="shared" si="36"/>
        <v>10000</v>
      </c>
      <c r="AL39" s="7">
        <f t="shared" si="36"/>
        <v>5950</v>
      </c>
      <c r="AM39" s="7">
        <f t="shared" si="36"/>
        <v>500</v>
      </c>
      <c r="AN39" s="7">
        <f t="shared" ref="AN39:AS39" si="37">AN35*AN21</f>
        <v>6200</v>
      </c>
      <c r="AO39" s="7">
        <f t="shared" si="37"/>
        <v>4400</v>
      </c>
      <c r="AP39" s="7">
        <f t="shared" si="37"/>
        <v>9500</v>
      </c>
      <c r="AQ39" s="7">
        <f t="shared" si="37"/>
        <v>3400</v>
      </c>
      <c r="AR39" s="7">
        <f t="shared" si="37"/>
        <v>10000</v>
      </c>
      <c r="AS39" s="7">
        <f t="shared" si="37"/>
        <v>6000</v>
      </c>
      <c r="AT39" s="7">
        <f t="shared" ref="AT39:AY39" si="38">AT35*AT21</f>
        <v>10300</v>
      </c>
      <c r="AU39" s="7">
        <f t="shared" si="38"/>
        <v>5400</v>
      </c>
      <c r="AV39" s="7">
        <f t="shared" si="38"/>
        <v>14700</v>
      </c>
      <c r="AW39" s="7">
        <f t="shared" si="38"/>
        <v>10500</v>
      </c>
      <c r="AX39" s="7">
        <f t="shared" si="38"/>
        <v>5500</v>
      </c>
      <c r="AY39" s="7">
        <f t="shared" si="38"/>
        <v>3750</v>
      </c>
      <c r="AZ39" s="7">
        <f>AZ35*AZ21</f>
        <v>900</v>
      </c>
      <c r="BA39" s="7">
        <f>BA35*BA21</f>
        <v>5300</v>
      </c>
      <c r="BB39" s="7">
        <f>BB35*BB21</f>
        <v>1500</v>
      </c>
      <c r="BC39" s="7">
        <f>BC35*BC21</f>
        <v>6000</v>
      </c>
      <c r="BD39" s="7">
        <f>BD35*BD21</f>
        <v>18250</v>
      </c>
    </row>
    <row r="40" spans="2:56" x14ac:dyDescent="0.35">
      <c r="C40" t="s">
        <v>8</v>
      </c>
      <c r="D40" s="8">
        <f t="shared" ref="D40:AM40" si="39">D38/D39*50/D24</f>
        <v>0.11051212938005392</v>
      </c>
      <c r="E40" s="8">
        <f t="shared" si="39"/>
        <v>0.31818181818181818</v>
      </c>
      <c r="F40" s="8">
        <f t="shared" si="39"/>
        <v>0.14184060721062619</v>
      </c>
      <c r="G40" s="8">
        <f t="shared" si="39"/>
        <v>7.4999999999999997E-2</v>
      </c>
      <c r="H40" s="8">
        <f t="shared" si="39"/>
        <v>0.12988505747126436</v>
      </c>
      <c r="I40" s="8">
        <f t="shared" si="39"/>
        <v>0.28333333333333333</v>
      </c>
      <c r="J40" s="8">
        <f t="shared" si="39"/>
        <v>0.25</v>
      </c>
      <c r="K40" s="8">
        <f t="shared" si="39"/>
        <v>0.2</v>
      </c>
      <c r="L40" s="8">
        <f t="shared" si="39"/>
        <v>0.3928571428571429</v>
      </c>
      <c r="M40" s="8">
        <f t="shared" si="39"/>
        <v>0.15625</v>
      </c>
      <c r="N40" s="8">
        <f t="shared" si="39"/>
        <v>0.11616161616161617</v>
      </c>
      <c r="O40" s="8">
        <f t="shared" si="39"/>
        <v>0.20161290322580644</v>
      </c>
      <c r="P40" s="8">
        <f t="shared" si="39"/>
        <v>0.20100502512562815</v>
      </c>
      <c r="Q40" s="8">
        <f t="shared" si="39"/>
        <v>0.36666666666666664</v>
      </c>
      <c r="R40" s="8">
        <f t="shared" si="39"/>
        <v>0.30864197530864196</v>
      </c>
      <c r="S40" s="8">
        <f t="shared" si="39"/>
        <v>0.90163934426229497</v>
      </c>
      <c r="T40" s="8">
        <f t="shared" si="39"/>
        <v>0.27083333333333331</v>
      </c>
      <c r="U40" s="8">
        <f t="shared" si="39"/>
        <v>0.13038277511961721</v>
      </c>
      <c r="V40" s="8">
        <f t="shared" si="39"/>
        <v>0.46195652173913043</v>
      </c>
      <c r="W40" s="8">
        <f t="shared" si="39"/>
        <v>2.7412280701754384E-2</v>
      </c>
      <c r="X40" s="8">
        <f t="shared" si="39"/>
        <v>0.125</v>
      </c>
      <c r="Y40" s="8">
        <f t="shared" si="39"/>
        <v>0.66666666666666674</v>
      </c>
      <c r="Z40" s="8">
        <f t="shared" si="39"/>
        <v>0.27941176470588236</v>
      </c>
      <c r="AA40" s="8">
        <f t="shared" si="39"/>
        <v>0.11018518518518518</v>
      </c>
      <c r="AB40" s="8">
        <f t="shared" si="39"/>
        <v>9.5121951219512196E-2</v>
      </c>
      <c r="AC40" s="8">
        <f t="shared" si="39"/>
        <v>0.39930555555555552</v>
      </c>
      <c r="AD40" s="8">
        <f t="shared" si="39"/>
        <v>0.25</v>
      </c>
      <c r="AE40" s="8">
        <f t="shared" si="39"/>
        <v>0.21739130434782608</v>
      </c>
      <c r="AF40" s="8">
        <f t="shared" si="39"/>
        <v>0.19791666666666666</v>
      </c>
      <c r="AG40" s="8">
        <f t="shared" si="39"/>
        <v>5.5555555555555559E-2</v>
      </c>
      <c r="AH40" s="8">
        <f t="shared" si="39"/>
        <v>0.15327380952380953</v>
      </c>
      <c r="AI40" s="8">
        <f t="shared" si="39"/>
        <v>0.23972602739726029</v>
      </c>
      <c r="AJ40" s="8">
        <f t="shared" si="39"/>
        <v>0.20370370370370372</v>
      </c>
      <c r="AK40" s="8">
        <f t="shared" si="39"/>
        <v>8.3333333333333356E-2</v>
      </c>
      <c r="AL40" s="8">
        <f t="shared" si="39"/>
        <v>8.4033613445378158E-2</v>
      </c>
      <c r="AM40" s="8">
        <f t="shared" si="39"/>
        <v>0.23333333333333336</v>
      </c>
      <c r="AN40" s="8">
        <f t="shared" ref="AN40:AS40" si="40">AN38/AN39*50/AN24</f>
        <v>0.20967741935483869</v>
      </c>
      <c r="AO40" s="8">
        <f t="shared" si="40"/>
        <v>0.29356060606060602</v>
      </c>
      <c r="AP40" s="8">
        <f t="shared" si="40"/>
        <v>0.10526315789473684</v>
      </c>
      <c r="AQ40" s="8">
        <f t="shared" si="40"/>
        <v>0.38235294117647062</v>
      </c>
      <c r="AR40" s="8">
        <f t="shared" si="40"/>
        <v>0.67500000000000004</v>
      </c>
      <c r="AS40" s="8">
        <f t="shared" si="40"/>
        <v>0.23611111111111108</v>
      </c>
      <c r="AT40" s="8">
        <f t="shared" ref="AT40:AY40" si="41">AT38/AT39*50/AT24</f>
        <v>0.33373786407766987</v>
      </c>
      <c r="AU40" s="8">
        <f t="shared" si="41"/>
        <v>0.23148148148148148</v>
      </c>
      <c r="AV40" s="8">
        <f t="shared" si="41"/>
        <v>0.16666666666666669</v>
      </c>
      <c r="AW40" s="8">
        <f t="shared" si="41"/>
        <v>0.13095238095238096</v>
      </c>
      <c r="AX40" s="8">
        <f t="shared" si="41"/>
        <v>0.18181818181818185</v>
      </c>
      <c r="AY40" s="8">
        <f t="shared" si="41"/>
        <v>0.10333333333333332</v>
      </c>
      <c r="AZ40" s="8">
        <f>AZ38/AZ39*50/AZ24</f>
        <v>0.18055555555555552</v>
      </c>
      <c r="BA40" s="8">
        <f>BA38/BA39*50/BA24</f>
        <v>0.3066037735849057</v>
      </c>
      <c r="BB40" s="8">
        <f>BB38/BB39*50/BB24</f>
        <v>0.2944444444444444</v>
      </c>
      <c r="BC40" s="8">
        <f>BC38/BC39*50/BC24</f>
        <v>0.36111111111111116</v>
      </c>
      <c r="BD40" s="8">
        <f>BD38/BD39*50/BD24</f>
        <v>0.28767123287671237</v>
      </c>
    </row>
    <row r="41" spans="2:56" x14ac:dyDescent="0.35">
      <c r="C41" t="s">
        <v>69</v>
      </c>
      <c r="D41" s="8">
        <f t="shared" ref="D41:U41" si="42">D36/D37</f>
        <v>2.3809523809523808E-2</v>
      </c>
      <c r="E41" s="8">
        <f t="shared" si="42"/>
        <v>8.3333333333333332E-3</v>
      </c>
      <c r="F41" s="8">
        <f t="shared" si="42"/>
        <v>3.3333333333333335E-3</v>
      </c>
      <c r="G41" s="8">
        <f t="shared" si="42"/>
        <v>0.1</v>
      </c>
      <c r="H41" s="8">
        <f t="shared" si="42"/>
        <v>4.2372881355932202E-2</v>
      </c>
      <c r="I41" s="8">
        <f t="shared" si="42"/>
        <v>5.5555555555555552E-2</v>
      </c>
      <c r="J41" s="8">
        <f t="shared" si="42"/>
        <v>3.8461538461538464E-2</v>
      </c>
      <c r="K41" s="8">
        <f t="shared" si="42"/>
        <v>5.8823529411764705E-2</v>
      </c>
      <c r="L41" s="8">
        <f t="shared" si="42"/>
        <v>8.3333333333333329E-2</v>
      </c>
      <c r="M41" s="8">
        <f t="shared" si="42"/>
        <v>6.25E-2</v>
      </c>
      <c r="N41" s="8">
        <f t="shared" si="42"/>
        <v>9.8039215686274495E-2</v>
      </c>
      <c r="O41" s="8">
        <f t="shared" si="42"/>
        <v>0.16666666666666666</v>
      </c>
      <c r="P41" s="8">
        <f t="shared" si="42"/>
        <v>0.1111111111111111</v>
      </c>
      <c r="Q41" s="8">
        <f t="shared" si="42"/>
        <v>4.3478260869565223E-2</v>
      </c>
      <c r="R41" s="8">
        <f t="shared" si="42"/>
        <v>2.4390243902439029E-2</v>
      </c>
      <c r="S41" s="8">
        <f t="shared" si="42"/>
        <v>4.3478260869565223E-2</v>
      </c>
      <c r="T41" s="8">
        <f t="shared" si="42"/>
        <v>7.1428571428571425E-2</v>
      </c>
      <c r="U41" s="8">
        <f t="shared" si="42"/>
        <v>9.0909090909090905E-3</v>
      </c>
      <c r="V41" s="8">
        <f t="shared" ref="V41:AE41" si="43">V36/V37</f>
        <v>5.5555555555555552E-2</v>
      </c>
      <c r="W41" s="8">
        <f t="shared" si="43"/>
        <v>0.16666666666666666</v>
      </c>
      <c r="X41" s="8">
        <f t="shared" si="43"/>
        <v>7.1428571428571425E-2</v>
      </c>
      <c r="Y41" s="8">
        <f t="shared" si="43"/>
        <v>6.6666666666666666E-2</v>
      </c>
      <c r="Z41" s="8">
        <f t="shared" si="43"/>
        <v>0.05</v>
      </c>
      <c r="AA41" s="8">
        <f t="shared" si="43"/>
        <v>8.3333333333333332E-3</v>
      </c>
      <c r="AB41" s="8">
        <f t="shared" si="43"/>
        <v>0.11363636363636363</v>
      </c>
      <c r="AC41" s="8">
        <f t="shared" si="43"/>
        <v>4.1666666666666664E-2</v>
      </c>
      <c r="AD41" s="8">
        <f t="shared" si="43"/>
        <v>8.3333333333333329E-2</v>
      </c>
      <c r="AE41" s="8">
        <f t="shared" si="43"/>
        <v>4.7619047619047616E-2</v>
      </c>
      <c r="AF41" s="8">
        <f t="shared" ref="AF41:AK41" si="44">AF36/AF37</f>
        <v>0.05</v>
      </c>
      <c r="AG41" s="8">
        <f t="shared" si="44"/>
        <v>0.5</v>
      </c>
      <c r="AH41" s="8">
        <f t="shared" si="44"/>
        <v>9.6153846153846159E-3</v>
      </c>
      <c r="AI41" s="8">
        <f t="shared" si="44"/>
        <v>0.125</v>
      </c>
      <c r="AJ41" s="8">
        <f t="shared" si="44"/>
        <v>8.3333333333333329E-2</v>
      </c>
      <c r="AK41" s="8">
        <f t="shared" si="44"/>
        <v>9.0909090909090898E-2</v>
      </c>
      <c r="AL41" s="8">
        <f t="shared" ref="AL41:AQ41" si="45">AL36/AL37</f>
        <v>0.33333333333333331</v>
      </c>
      <c r="AM41" s="8">
        <f t="shared" si="45"/>
        <v>6.6666666666666666E-2</v>
      </c>
      <c r="AN41" s="8">
        <f t="shared" si="45"/>
        <v>0.29729729729729731</v>
      </c>
      <c r="AO41" s="8">
        <f t="shared" si="45"/>
        <v>3.125E-2</v>
      </c>
      <c r="AP41" s="8">
        <f t="shared" si="45"/>
        <v>0.2</v>
      </c>
      <c r="AQ41" s="8">
        <f t="shared" si="45"/>
        <v>0.16129032258064516</v>
      </c>
      <c r="AR41" s="8">
        <f t="shared" ref="AR41:AW41" si="46">AR36/AR37</f>
        <v>3.5714285714285712E-2</v>
      </c>
      <c r="AS41" s="8">
        <f t="shared" si="46"/>
        <v>5.5555555555555552E-2</v>
      </c>
      <c r="AT41" s="8">
        <f t="shared" si="46"/>
        <v>8.3333333333333329E-2</v>
      </c>
      <c r="AU41" s="8">
        <f t="shared" si="46"/>
        <v>6.25E-2</v>
      </c>
      <c r="AV41" s="8">
        <f t="shared" si="46"/>
        <v>9.2592592592592587E-2</v>
      </c>
      <c r="AW41" s="8">
        <f t="shared" si="46"/>
        <v>8.3333333333333329E-2</v>
      </c>
      <c r="AX41" s="8">
        <f t="shared" ref="AX41:BC41" si="47">AX36/AX37</f>
        <v>7.6923076923076927E-2</v>
      </c>
      <c r="AY41" s="8">
        <f t="shared" si="47"/>
        <v>3.125E-2</v>
      </c>
      <c r="AZ41" s="8">
        <f t="shared" si="47"/>
        <v>7.1428571428571425E-2</v>
      </c>
      <c r="BA41" s="8">
        <f t="shared" si="47"/>
        <v>7.1428571428571425E-2</v>
      </c>
      <c r="BB41" s="8">
        <f t="shared" si="47"/>
        <v>8.6206896551724144E-2</v>
      </c>
      <c r="BC41" s="8">
        <f t="shared" si="47"/>
        <v>3.7037037037037035E-2</v>
      </c>
      <c r="BD41" s="8">
        <f t="shared" ref="BD41" si="48">BD36/BD37</f>
        <v>4.5454545454545449E-2</v>
      </c>
    </row>
    <row r="42" spans="2:56" x14ac:dyDescent="0.35">
      <c r="D42" s="8"/>
      <c r="E42" s="8"/>
      <c r="F42" s="8"/>
      <c r="G42" s="8"/>
      <c r="H42" s="8"/>
      <c r="I42" s="8"/>
      <c r="J42" s="8"/>
    </row>
    <row r="43" spans="2:56" x14ac:dyDescent="0.35">
      <c r="D43" s="28">
        <f>SUMPRODUCT(D40:AL40,D39:AL39,D24:AL24)/SUMPRODUCT(D39:AL39,D24:AL24)</f>
        <v>0.15989699479664438</v>
      </c>
      <c r="E43" s="2"/>
      <c r="F43" s="2"/>
      <c r="G43" s="2"/>
      <c r="H43" s="2"/>
      <c r="I43" s="2"/>
      <c r="J43" s="2"/>
    </row>
    <row r="44" spans="2:56" ht="18.5" x14ac:dyDescent="0.45">
      <c r="C44" s="1" t="s">
        <v>9</v>
      </c>
      <c r="D44" s="2"/>
      <c r="E44" s="2"/>
      <c r="F44" s="2"/>
      <c r="G44" s="2"/>
      <c r="H44" s="2"/>
      <c r="I44" s="2"/>
      <c r="J44" s="2"/>
    </row>
    <row r="45" spans="2:56" x14ac:dyDescent="0.35">
      <c r="B45" s="283" t="s">
        <v>29</v>
      </c>
      <c r="C45" t="s">
        <v>11</v>
      </c>
      <c r="D45" s="2" t="s">
        <v>93</v>
      </c>
      <c r="E45" s="275" t="s">
        <v>93</v>
      </c>
      <c r="F45" s="2" t="s">
        <v>366</v>
      </c>
      <c r="G45" s="2" t="s">
        <v>1</v>
      </c>
      <c r="H45" s="2" t="s">
        <v>180</v>
      </c>
      <c r="I45" s="2" t="s">
        <v>626</v>
      </c>
      <c r="J45" s="2" t="s">
        <v>184</v>
      </c>
      <c r="K45" s="2" t="s">
        <v>370</v>
      </c>
      <c r="L45" t="s">
        <v>72</v>
      </c>
      <c r="M45" s="2" t="s">
        <v>72</v>
      </c>
      <c r="N45" s="119" t="s">
        <v>438</v>
      </c>
      <c r="O45" s="119" t="s">
        <v>33</v>
      </c>
      <c r="P45" t="s">
        <v>181</v>
      </c>
      <c r="Q45" t="s">
        <v>374</v>
      </c>
      <c r="R45" t="s">
        <v>374</v>
      </c>
      <c r="S45" s="206" t="s">
        <v>389</v>
      </c>
      <c r="T45" s="208" t="s">
        <v>338</v>
      </c>
      <c r="U45" s="208" t="s">
        <v>373</v>
      </c>
      <c r="V45" s="208" t="s">
        <v>91</v>
      </c>
      <c r="W45" s="243" t="s">
        <v>629</v>
      </c>
      <c r="X45" s="261" t="s">
        <v>436</v>
      </c>
      <c r="Y45" s="261" t="s">
        <v>414</v>
      </c>
      <c r="Z45" s="275" t="s">
        <v>385</v>
      </c>
    </row>
    <row r="46" spans="2:56" x14ac:dyDescent="0.35">
      <c r="B46" s="284"/>
      <c r="C46" t="s">
        <v>7</v>
      </c>
      <c r="D46" s="3">
        <v>56</v>
      </c>
      <c r="E46" s="3">
        <v>55</v>
      </c>
      <c r="F46" s="3">
        <v>24</v>
      </c>
      <c r="G46" s="3">
        <v>112</v>
      </c>
      <c r="H46" s="3">
        <v>8</v>
      </c>
      <c r="I46" s="3">
        <v>60</v>
      </c>
      <c r="J46" s="3">
        <v>30.5</v>
      </c>
      <c r="K46" s="3">
        <v>72.5</v>
      </c>
      <c r="L46" s="3">
        <v>10.5</v>
      </c>
      <c r="M46" s="3">
        <v>10.5</v>
      </c>
      <c r="N46" s="3">
        <v>94</v>
      </c>
      <c r="O46" s="3">
        <v>38</v>
      </c>
      <c r="P46" s="3">
        <v>26</v>
      </c>
      <c r="Q46" s="3">
        <v>16.5</v>
      </c>
      <c r="R46" s="3">
        <v>18</v>
      </c>
      <c r="S46" s="3">
        <v>120</v>
      </c>
      <c r="T46" s="3">
        <v>50</v>
      </c>
      <c r="U46" s="3">
        <v>32.5</v>
      </c>
      <c r="V46" s="3">
        <v>15</v>
      </c>
      <c r="W46" s="3">
        <v>100</v>
      </c>
      <c r="X46" s="3">
        <v>6</v>
      </c>
      <c r="Y46" s="3">
        <v>16</v>
      </c>
      <c r="Z46" s="3">
        <v>33</v>
      </c>
    </row>
    <row r="47" spans="2:56" x14ac:dyDescent="0.35">
      <c r="B47" s="284"/>
      <c r="C47" t="s">
        <v>30</v>
      </c>
      <c r="D47" s="3">
        <v>0.56999999999999995</v>
      </c>
      <c r="E47" s="3">
        <v>1.61</v>
      </c>
      <c r="F47" s="3">
        <v>0.12</v>
      </c>
      <c r="G47" s="3">
        <v>2.62</v>
      </c>
      <c r="H47" s="3">
        <v>2</v>
      </c>
      <c r="I47" s="3">
        <v>0.5</v>
      </c>
      <c r="J47" s="3">
        <v>0.3</v>
      </c>
      <c r="K47" s="3">
        <v>0.65</v>
      </c>
      <c r="L47" s="3">
        <v>0.24</v>
      </c>
      <c r="M47" s="3">
        <v>0.1</v>
      </c>
      <c r="N47" s="3">
        <v>1.5</v>
      </c>
      <c r="O47" s="3">
        <v>0.22</v>
      </c>
      <c r="P47" s="3">
        <v>0.25</v>
      </c>
      <c r="Q47" s="3">
        <v>0.1</v>
      </c>
      <c r="R47" s="3">
        <v>0.25</v>
      </c>
      <c r="S47" s="3">
        <v>0.2</v>
      </c>
      <c r="T47" s="3">
        <v>1.06</v>
      </c>
      <c r="U47" s="3">
        <v>0.15</v>
      </c>
      <c r="V47" s="3">
        <v>0.3</v>
      </c>
      <c r="W47" s="3">
        <v>1.05</v>
      </c>
      <c r="X47" s="3">
        <v>0.9</v>
      </c>
      <c r="Y47" s="3">
        <v>0.21</v>
      </c>
      <c r="Z47" s="3">
        <v>0.65</v>
      </c>
    </row>
    <row r="48" spans="2:56" x14ac:dyDescent="0.35">
      <c r="B48" s="284"/>
      <c r="C48" t="s">
        <v>5</v>
      </c>
      <c r="D48" s="6">
        <v>5</v>
      </c>
      <c r="E48" s="6">
        <v>5</v>
      </c>
      <c r="F48" s="6">
        <v>5</v>
      </c>
      <c r="G48" s="6">
        <v>15</v>
      </c>
      <c r="H48" s="6">
        <v>1</v>
      </c>
      <c r="I48" s="6">
        <v>1</v>
      </c>
      <c r="J48" s="6">
        <v>10</v>
      </c>
      <c r="K48" s="6">
        <v>2</v>
      </c>
      <c r="L48" s="6">
        <v>20</v>
      </c>
      <c r="M48" s="6">
        <v>20</v>
      </c>
      <c r="N48" s="6">
        <v>3</v>
      </c>
      <c r="O48" s="6">
        <v>3</v>
      </c>
      <c r="P48" s="6">
        <v>4</v>
      </c>
      <c r="Q48" s="6">
        <v>10</v>
      </c>
      <c r="R48" s="6">
        <v>2</v>
      </c>
      <c r="S48" s="6">
        <v>1</v>
      </c>
      <c r="T48" s="6">
        <v>4</v>
      </c>
      <c r="U48" s="6">
        <v>2</v>
      </c>
      <c r="V48" s="6">
        <v>4</v>
      </c>
      <c r="W48" s="6">
        <v>1</v>
      </c>
      <c r="X48" s="6">
        <v>1</v>
      </c>
      <c r="Y48" s="6">
        <v>5</v>
      </c>
      <c r="Z48" s="6">
        <v>2</v>
      </c>
    </row>
    <row r="49" spans="2:26" x14ac:dyDescent="0.35">
      <c r="B49" s="284"/>
      <c r="C49" t="s">
        <v>10</v>
      </c>
      <c r="D49" s="6">
        <v>6</v>
      </c>
      <c r="E49" s="6">
        <v>9</v>
      </c>
      <c r="F49" s="6">
        <v>2</v>
      </c>
      <c r="G49" s="6">
        <v>6</v>
      </c>
      <c r="H49" s="6">
        <v>35</v>
      </c>
      <c r="I49" s="6">
        <v>2</v>
      </c>
      <c r="J49" s="6">
        <v>3</v>
      </c>
      <c r="K49" s="6">
        <v>3</v>
      </c>
      <c r="L49" s="6">
        <v>7</v>
      </c>
      <c r="M49" s="6">
        <v>3</v>
      </c>
      <c r="N49" s="6">
        <v>2</v>
      </c>
      <c r="O49" s="6">
        <v>1</v>
      </c>
      <c r="P49" s="6">
        <v>3</v>
      </c>
      <c r="Q49" s="6">
        <v>1</v>
      </c>
      <c r="R49" s="6">
        <v>2</v>
      </c>
      <c r="S49" s="6">
        <v>2</v>
      </c>
      <c r="T49" s="6">
        <v>18</v>
      </c>
      <c r="U49" s="6">
        <v>25</v>
      </c>
      <c r="V49" s="6">
        <v>2</v>
      </c>
      <c r="W49" s="6">
        <v>5</v>
      </c>
      <c r="X49" s="6">
        <v>26</v>
      </c>
      <c r="Y49" s="6">
        <v>3</v>
      </c>
      <c r="Z49" s="6">
        <v>9</v>
      </c>
    </row>
    <row r="50" spans="2:26" x14ac:dyDescent="0.35">
      <c r="B50" s="284"/>
      <c r="C50" t="s">
        <v>24</v>
      </c>
      <c r="D50" s="3">
        <v>55.5</v>
      </c>
      <c r="E50" s="3">
        <v>55.13</v>
      </c>
      <c r="F50" s="3">
        <v>26.5</v>
      </c>
      <c r="G50" s="3">
        <v>112</v>
      </c>
      <c r="H50" s="3">
        <v>8</v>
      </c>
      <c r="I50" s="3">
        <v>70</v>
      </c>
      <c r="J50" s="3">
        <v>31</v>
      </c>
      <c r="K50" s="3">
        <v>75</v>
      </c>
      <c r="L50" s="3">
        <v>12</v>
      </c>
      <c r="M50" s="3">
        <v>12</v>
      </c>
      <c r="N50" s="3">
        <v>94</v>
      </c>
      <c r="O50" s="3">
        <v>25</v>
      </c>
      <c r="P50" s="3">
        <v>26</v>
      </c>
      <c r="Q50" s="3">
        <v>16.5</v>
      </c>
      <c r="R50" s="3">
        <v>20.5</v>
      </c>
      <c r="S50" s="3">
        <v>140</v>
      </c>
      <c r="T50" s="3">
        <v>48</v>
      </c>
      <c r="U50" s="3">
        <v>32.5</v>
      </c>
      <c r="V50" s="3">
        <v>60</v>
      </c>
      <c r="W50" s="3">
        <v>99.5</v>
      </c>
      <c r="X50" s="3">
        <v>6.15</v>
      </c>
      <c r="Y50" s="3">
        <v>17</v>
      </c>
      <c r="Z50" s="3">
        <v>33</v>
      </c>
    </row>
    <row r="51" spans="2:26" x14ac:dyDescent="0.35">
      <c r="B51" s="285"/>
      <c r="C51" t="s">
        <v>23</v>
      </c>
      <c r="D51" s="6">
        <v>0</v>
      </c>
      <c r="E51" s="6">
        <v>0</v>
      </c>
      <c r="F51" s="6">
        <v>0</v>
      </c>
      <c r="G51" s="6">
        <v>0</v>
      </c>
      <c r="H51" s="6">
        <v>0</v>
      </c>
      <c r="I51" s="6">
        <v>0</v>
      </c>
      <c r="J51" s="6">
        <v>0</v>
      </c>
      <c r="K51" s="6">
        <v>0</v>
      </c>
      <c r="L51" s="6">
        <v>0</v>
      </c>
      <c r="M51" s="6">
        <v>0</v>
      </c>
      <c r="N51" s="6">
        <v>0</v>
      </c>
      <c r="O51" s="6">
        <v>0</v>
      </c>
      <c r="P51" s="6">
        <v>1</v>
      </c>
      <c r="Q51" s="6">
        <v>1</v>
      </c>
      <c r="R51" s="6">
        <v>0</v>
      </c>
      <c r="S51" s="6">
        <v>0</v>
      </c>
      <c r="T51" s="6">
        <v>0</v>
      </c>
      <c r="U51" s="6">
        <v>0</v>
      </c>
      <c r="V51" s="6">
        <v>0</v>
      </c>
      <c r="W51" s="6">
        <v>0</v>
      </c>
      <c r="X51" s="6">
        <v>0</v>
      </c>
      <c r="Y51" s="6">
        <v>0</v>
      </c>
      <c r="Z51" s="6">
        <v>0</v>
      </c>
    </row>
    <row r="52" spans="2:26" x14ac:dyDescent="0.35">
      <c r="B52" s="265"/>
      <c r="C52" t="s">
        <v>431</v>
      </c>
      <c r="D52" s="6">
        <v>54.8</v>
      </c>
      <c r="E52" s="6">
        <v>54.8</v>
      </c>
      <c r="F52" s="6">
        <v>23</v>
      </c>
      <c r="G52" s="6">
        <v>158</v>
      </c>
      <c r="H52" s="6">
        <v>8</v>
      </c>
      <c r="I52" s="6">
        <v>60</v>
      </c>
      <c r="J52" s="6">
        <v>42</v>
      </c>
      <c r="K52" s="6">
        <v>88</v>
      </c>
      <c r="L52" s="6">
        <v>10.55</v>
      </c>
      <c r="M52" s="6">
        <v>10.55</v>
      </c>
      <c r="N52" s="6">
        <v>92</v>
      </c>
      <c r="O52" s="6">
        <v>38</v>
      </c>
      <c r="P52" s="6">
        <v>22</v>
      </c>
      <c r="Q52" s="6">
        <v>16</v>
      </c>
      <c r="R52" s="6">
        <v>17.7</v>
      </c>
      <c r="S52" s="6">
        <v>128</v>
      </c>
      <c r="T52" s="6">
        <v>49</v>
      </c>
      <c r="U52" s="6">
        <v>24</v>
      </c>
      <c r="V52" s="6">
        <v>14</v>
      </c>
      <c r="W52" s="6">
        <v>101</v>
      </c>
      <c r="X52" s="6">
        <v>6</v>
      </c>
      <c r="Y52" s="6">
        <v>15</v>
      </c>
      <c r="Z52" s="6">
        <v>32.6</v>
      </c>
    </row>
    <row r="53" spans="2:26" x14ac:dyDescent="0.35">
      <c r="B53" s="265"/>
      <c r="C53" t="s">
        <v>635</v>
      </c>
      <c r="D53" s="8">
        <v>0.15</v>
      </c>
      <c r="E53" s="8">
        <v>0.15</v>
      </c>
      <c r="F53" s="8">
        <v>0.25</v>
      </c>
      <c r="G53" s="8">
        <v>0.25</v>
      </c>
      <c r="H53" s="8">
        <v>0.25</v>
      </c>
      <c r="I53" s="8">
        <v>0.25</v>
      </c>
      <c r="J53" s="8">
        <v>0.25</v>
      </c>
      <c r="K53" s="8">
        <v>0.25</v>
      </c>
      <c r="L53" s="8">
        <v>0.25</v>
      </c>
      <c r="M53" s="8">
        <v>0.25</v>
      </c>
      <c r="N53" s="8">
        <v>0.25</v>
      </c>
      <c r="O53" s="8">
        <v>0.25</v>
      </c>
      <c r="P53" s="8">
        <v>0.25</v>
      </c>
      <c r="Q53" s="8">
        <v>0.25</v>
      </c>
      <c r="R53" s="8">
        <v>0.25</v>
      </c>
      <c r="S53" s="8">
        <v>0.25</v>
      </c>
      <c r="T53" s="8">
        <v>0.15</v>
      </c>
      <c r="U53" s="8">
        <v>0.25</v>
      </c>
      <c r="V53" s="8">
        <v>0.25</v>
      </c>
      <c r="W53" s="8">
        <v>0.25</v>
      </c>
      <c r="X53" s="8">
        <v>0.25</v>
      </c>
      <c r="Y53" s="8">
        <v>0.5</v>
      </c>
      <c r="Z53" s="8">
        <v>0.15</v>
      </c>
    </row>
    <row r="54" spans="2:26" x14ac:dyDescent="0.35">
      <c r="B54" s="265"/>
      <c r="C54" t="s">
        <v>432</v>
      </c>
      <c r="D54" s="8">
        <f>(D46-D52)/D52</f>
        <v>2.1897810218978155E-2</v>
      </c>
      <c r="E54" s="8">
        <f>(E46-E52)/E52</f>
        <v>3.6496350364964023E-3</v>
      </c>
      <c r="F54" s="8">
        <f t="shared" ref="F54:Y54" si="49">(F46-F52)/F52</f>
        <v>4.3478260869565216E-2</v>
      </c>
      <c r="G54" s="8">
        <f t="shared" si="49"/>
        <v>-0.29113924050632911</v>
      </c>
      <c r="H54" s="8">
        <f t="shared" si="49"/>
        <v>0</v>
      </c>
      <c r="I54" s="8">
        <f t="shared" si="49"/>
        <v>0</v>
      </c>
      <c r="J54" s="8">
        <f t="shared" si="49"/>
        <v>-0.27380952380952384</v>
      </c>
      <c r="K54" s="8">
        <f t="shared" si="49"/>
        <v>-0.17613636363636365</v>
      </c>
      <c r="L54" s="8">
        <f t="shared" si="49"/>
        <v>-4.7393364928910624E-3</v>
      </c>
      <c r="M54" s="8">
        <f>(M46-M52)/M52</f>
        <v>-4.7393364928910624E-3</v>
      </c>
      <c r="N54" s="8">
        <f t="shared" si="49"/>
        <v>2.1739130434782608E-2</v>
      </c>
      <c r="O54" s="8">
        <f t="shared" si="49"/>
        <v>0</v>
      </c>
      <c r="P54" s="8">
        <f t="shared" si="49"/>
        <v>0.18181818181818182</v>
      </c>
      <c r="Q54" s="8">
        <f t="shared" si="49"/>
        <v>3.125E-2</v>
      </c>
      <c r="R54" s="8">
        <f t="shared" si="49"/>
        <v>1.6949152542372923E-2</v>
      </c>
      <c r="S54" s="8">
        <f t="shared" si="49"/>
        <v>-6.25E-2</v>
      </c>
      <c r="T54" s="8">
        <f t="shared" si="49"/>
        <v>2.0408163265306121E-2</v>
      </c>
      <c r="U54" s="8">
        <f t="shared" si="49"/>
        <v>0.35416666666666669</v>
      </c>
      <c r="V54" s="8">
        <f t="shared" si="49"/>
        <v>7.1428571428571425E-2</v>
      </c>
      <c r="W54" s="8">
        <f t="shared" si="49"/>
        <v>-9.9009900990099011E-3</v>
      </c>
      <c r="X54" s="8">
        <f t="shared" si="49"/>
        <v>0</v>
      </c>
      <c r="Y54" s="8">
        <f t="shared" si="49"/>
        <v>6.6666666666666666E-2</v>
      </c>
      <c r="Z54" s="8">
        <f>(Z46-Z52)/Z52</f>
        <v>1.2269938650306704E-2</v>
      </c>
    </row>
    <row r="55" spans="2:26" x14ac:dyDescent="0.35">
      <c r="B55" s="265"/>
      <c r="C55" t="s">
        <v>637</v>
      </c>
      <c r="D55" s="8">
        <f>D53*SQRT(D49/52)</f>
        <v>5.0952466536506806E-2</v>
      </c>
      <c r="E55" s="8">
        <f>E53*SQRT(E49/52)</f>
        <v>6.2403772075338274E-2</v>
      </c>
      <c r="F55" s="8">
        <f t="shared" ref="F55:Y55" si="50">F53*SQRT(F49/52)</f>
        <v>4.9029033784546011E-2</v>
      </c>
      <c r="G55" s="8">
        <f t="shared" si="50"/>
        <v>8.4920777560844679E-2</v>
      </c>
      <c r="H55" s="8">
        <f t="shared" si="50"/>
        <v>0.20510316353559174</v>
      </c>
      <c r="I55" s="8">
        <f t="shared" si="50"/>
        <v>4.9029033784546011E-2</v>
      </c>
      <c r="J55" s="8">
        <f t="shared" si="50"/>
        <v>6.0048057676907678E-2</v>
      </c>
      <c r="K55" s="8">
        <f t="shared" si="50"/>
        <v>6.0048057676907678E-2</v>
      </c>
      <c r="L55" s="8">
        <f t="shared" si="50"/>
        <v>9.1724923213167844E-2</v>
      </c>
      <c r="M55" s="8">
        <f>M53*SQRT(M49/52)</f>
        <v>6.0048057676907678E-2</v>
      </c>
      <c r="N55" s="8">
        <f t="shared" si="50"/>
        <v>4.9029033784546011E-2</v>
      </c>
      <c r="O55" s="8">
        <f t="shared" si="50"/>
        <v>3.4668762264076822E-2</v>
      </c>
      <c r="P55" s="8">
        <f t="shared" si="50"/>
        <v>6.0048057676907678E-2</v>
      </c>
      <c r="Q55" s="8">
        <f t="shared" si="50"/>
        <v>3.4668762264076822E-2</v>
      </c>
      <c r="R55" s="8">
        <f t="shared" si="50"/>
        <v>4.9029033784546011E-2</v>
      </c>
      <c r="S55" s="8">
        <f t="shared" si="50"/>
        <v>4.9029033784546011E-2</v>
      </c>
      <c r="T55" s="8">
        <f t="shared" si="50"/>
        <v>8.825226081218282E-2</v>
      </c>
      <c r="U55" s="8">
        <f t="shared" si="50"/>
        <v>0.17334381132038409</v>
      </c>
      <c r="V55" s="8">
        <f t="shared" si="50"/>
        <v>4.9029033784546011E-2</v>
      </c>
      <c r="W55" s="8">
        <f t="shared" si="50"/>
        <v>7.7521709118255289E-2</v>
      </c>
      <c r="X55" s="8">
        <f t="shared" si="50"/>
        <v>0.17677669529663689</v>
      </c>
      <c r="Y55" s="8">
        <f t="shared" si="50"/>
        <v>0.12009611535381536</v>
      </c>
      <c r="Z55" s="8">
        <f>Z53*SQRT(Z49/52)</f>
        <v>6.2403772075338274E-2</v>
      </c>
    </row>
    <row r="56" spans="2:26" x14ac:dyDescent="0.35">
      <c r="B56" s="265"/>
      <c r="C56" t="s">
        <v>636</v>
      </c>
      <c r="D56" s="71">
        <f>D52*D55</f>
        <v>2.7921951662005728</v>
      </c>
      <c r="E56" s="71">
        <f>E52*E55</f>
        <v>3.4197267097285371</v>
      </c>
      <c r="F56" s="71">
        <f t="shared" ref="F56:Y56" si="51">F52*F55</f>
        <v>1.1276677770445582</v>
      </c>
      <c r="G56" s="71">
        <f t="shared" si="51"/>
        <v>13.417482854613459</v>
      </c>
      <c r="H56" s="71">
        <f t="shared" si="51"/>
        <v>1.6408253082847339</v>
      </c>
      <c r="I56" s="71">
        <f t="shared" si="51"/>
        <v>2.9417420270727606</v>
      </c>
      <c r="J56" s="71">
        <f t="shared" si="51"/>
        <v>2.5220184224301225</v>
      </c>
      <c r="K56" s="71">
        <f t="shared" si="51"/>
        <v>5.2842290755678754</v>
      </c>
      <c r="L56" s="71">
        <f t="shared" si="51"/>
        <v>0.96769793989892083</v>
      </c>
      <c r="M56" s="71">
        <f>M52*M55</f>
        <v>0.63350700849137609</v>
      </c>
      <c r="N56" s="71">
        <f t="shared" si="51"/>
        <v>4.5106711081782329</v>
      </c>
      <c r="O56" s="71">
        <f t="shared" si="51"/>
        <v>1.3174129660349192</v>
      </c>
      <c r="P56" s="71">
        <f t="shared" si="51"/>
        <v>1.3210572688919688</v>
      </c>
      <c r="Q56" s="71">
        <f t="shared" si="51"/>
        <v>0.55470019622522915</v>
      </c>
      <c r="R56" s="71">
        <f t="shared" si="51"/>
        <v>0.86781389798646436</v>
      </c>
      <c r="S56" s="71">
        <f t="shared" si="51"/>
        <v>6.2757163244218894</v>
      </c>
      <c r="T56" s="71">
        <f t="shared" si="51"/>
        <v>4.3243607797969581</v>
      </c>
      <c r="U56" s="71">
        <f t="shared" si="51"/>
        <v>4.1602514716892181</v>
      </c>
      <c r="V56" s="71">
        <f t="shared" si="51"/>
        <v>0.6864064729836441</v>
      </c>
      <c r="W56" s="71">
        <f t="shared" si="51"/>
        <v>7.829692620943784</v>
      </c>
      <c r="X56" s="71">
        <f t="shared" si="51"/>
        <v>1.0606601717798214</v>
      </c>
      <c r="Y56" s="71">
        <f t="shared" si="51"/>
        <v>1.8014417303072303</v>
      </c>
      <c r="Z56" s="71">
        <f>Z52*Z55</f>
        <v>2.0343629696560277</v>
      </c>
    </row>
    <row r="57" spans="2:26" x14ac:dyDescent="0.35">
      <c r="B57" s="265"/>
      <c r="C57" t="s">
        <v>678</v>
      </c>
      <c r="D57" s="71">
        <f>D52+D56</f>
        <v>57.592195166200568</v>
      </c>
      <c r="E57" s="71">
        <f>E52+E56</f>
        <v>58.219726709728533</v>
      </c>
      <c r="F57" s="71">
        <f t="shared" ref="F57:Y57" si="52">F52+F56</f>
        <v>24.127667777044557</v>
      </c>
      <c r="G57" s="71">
        <f t="shared" si="52"/>
        <v>171.41748285461347</v>
      </c>
      <c r="H57" s="71">
        <f t="shared" si="52"/>
        <v>9.6408253082847342</v>
      </c>
      <c r="I57" s="71">
        <f t="shared" si="52"/>
        <v>62.941742027072763</v>
      </c>
      <c r="J57" s="71">
        <f t="shared" si="52"/>
        <v>44.522018422430122</v>
      </c>
      <c r="K57" s="71">
        <f t="shared" si="52"/>
        <v>93.284229075567879</v>
      </c>
      <c r="L57" s="71">
        <f t="shared" si="52"/>
        <v>11.517697939898921</v>
      </c>
      <c r="M57" s="71">
        <f>M52+M56</f>
        <v>11.183507008491377</v>
      </c>
      <c r="N57" s="71">
        <f t="shared" si="52"/>
        <v>96.510671108178229</v>
      </c>
      <c r="O57" s="71">
        <f t="shared" si="52"/>
        <v>39.317412966034922</v>
      </c>
      <c r="P57" s="71">
        <f t="shared" si="52"/>
        <v>23.32105726889197</v>
      </c>
      <c r="Q57" s="71">
        <f t="shared" si="52"/>
        <v>16.55470019622523</v>
      </c>
      <c r="R57" s="71">
        <f t="shared" si="52"/>
        <v>18.567813897986465</v>
      </c>
      <c r="S57" s="71">
        <f t="shared" si="52"/>
        <v>134.27571632442189</v>
      </c>
      <c r="T57" s="71">
        <f t="shared" si="52"/>
        <v>53.324360779796962</v>
      </c>
      <c r="U57" s="71">
        <f t="shared" si="52"/>
        <v>28.160251471689218</v>
      </c>
      <c r="V57" s="71">
        <f t="shared" si="52"/>
        <v>14.686406472983645</v>
      </c>
      <c r="W57" s="71">
        <f t="shared" si="52"/>
        <v>108.82969262094379</v>
      </c>
      <c r="X57" s="71">
        <f t="shared" si="52"/>
        <v>7.060660171779821</v>
      </c>
      <c r="Y57" s="71">
        <f t="shared" si="52"/>
        <v>16.801441730307232</v>
      </c>
      <c r="Z57" s="71">
        <f>Z52+Z56</f>
        <v>34.634362969656031</v>
      </c>
    </row>
    <row r="58" spans="2:26" x14ac:dyDescent="0.35">
      <c r="B58" s="265"/>
      <c r="C58" t="s">
        <v>680</v>
      </c>
      <c r="D58" s="8">
        <f>1-_xlfn.NORM.DIST(D54/D55,0,1,TRUE)</f>
        <v>0.33368170248461881</v>
      </c>
      <c r="E58" s="8">
        <f>1-_xlfn.NORM.DIST(E54/E55,0,1,TRUE)</f>
        <v>0.47668147153089291</v>
      </c>
      <c r="F58" s="8">
        <f t="shared" ref="F58:Y58" si="53">1-_xlfn.NORM.DIST(F54/F55,0,1,TRUE)</f>
        <v>0.18759706258483788</v>
      </c>
      <c r="G58" s="8">
        <f t="shared" si="53"/>
        <v>0.99969638338730105</v>
      </c>
      <c r="H58" s="8">
        <f t="shared" si="53"/>
        <v>0.5</v>
      </c>
      <c r="I58" s="8">
        <f t="shared" si="53"/>
        <v>0.5</v>
      </c>
      <c r="J58" s="8">
        <f t="shared" si="53"/>
        <v>0.99999744036715887</v>
      </c>
      <c r="K58" s="8">
        <f t="shared" si="53"/>
        <v>0.99832286747721966</v>
      </c>
      <c r="L58" s="8">
        <f t="shared" si="53"/>
        <v>0.52060378691046938</v>
      </c>
      <c r="M58" s="8">
        <f>1-_xlfn.NORM.DIST(M54/M55,0,1,TRUE)</f>
        <v>0.53145414930296675</v>
      </c>
      <c r="N58" s="8">
        <f t="shared" si="53"/>
        <v>0.32874074866892977</v>
      </c>
      <c r="O58" s="8">
        <f t="shared" si="53"/>
        <v>0.5</v>
      </c>
      <c r="P58" s="8">
        <f t="shared" si="53"/>
        <v>1.2313882007460863E-3</v>
      </c>
      <c r="Q58" s="8">
        <f t="shared" si="53"/>
        <v>0.18369107786044792</v>
      </c>
      <c r="R58" s="8">
        <f t="shared" si="53"/>
        <v>0.36478550582082103</v>
      </c>
      <c r="S58" s="8">
        <f t="shared" si="53"/>
        <v>0.89880199201352051</v>
      </c>
      <c r="T58" s="8">
        <f t="shared" si="53"/>
        <v>0.40856105127696685</v>
      </c>
      <c r="U58" s="8">
        <f t="shared" si="53"/>
        <v>2.0519007436454739E-2</v>
      </c>
      <c r="V58" s="8">
        <f t="shared" si="53"/>
        <v>7.2577139522396528E-2</v>
      </c>
      <c r="W58" s="8">
        <f t="shared" si="53"/>
        <v>0.55081429742663413</v>
      </c>
      <c r="X58" s="8">
        <f t="shared" si="53"/>
        <v>0.5</v>
      </c>
      <c r="Y58" s="8">
        <f t="shared" si="53"/>
        <v>0.28940939248531961</v>
      </c>
      <c r="Z58" s="8">
        <f>1-_xlfn.NORM.DIST(Z54/Z55,0,1,TRUE)</f>
        <v>0.42206177579913839</v>
      </c>
    </row>
    <row r="59" spans="2:26" x14ac:dyDescent="0.35">
      <c r="B59" s="265"/>
      <c r="C59" t="s">
        <v>682</v>
      </c>
      <c r="D59" s="8">
        <f>1-D58</f>
        <v>0.66631829751538119</v>
      </c>
      <c r="E59" s="8">
        <f>1-E58</f>
        <v>0.52331852846910709</v>
      </c>
      <c r="F59" s="8">
        <f t="shared" ref="F59:Y59" si="54">1-F58</f>
        <v>0.81240293741516212</v>
      </c>
      <c r="G59" s="8">
        <f t="shared" si="54"/>
        <v>3.0361661269895368E-4</v>
      </c>
      <c r="H59" s="8">
        <f t="shared" si="54"/>
        <v>0.5</v>
      </c>
      <c r="I59" s="8">
        <f t="shared" si="54"/>
        <v>0.5</v>
      </c>
      <c r="J59" s="8">
        <f t="shared" si="54"/>
        <v>2.559632841125925E-6</v>
      </c>
      <c r="K59" s="8">
        <f t="shared" si="54"/>
        <v>1.6771325227803446E-3</v>
      </c>
      <c r="L59" s="8">
        <f t="shared" si="54"/>
        <v>0.47939621308953062</v>
      </c>
      <c r="M59" s="8">
        <f>1-M58</f>
        <v>0.46854585069703325</v>
      </c>
      <c r="N59" s="8">
        <f t="shared" si="54"/>
        <v>0.67125925133107023</v>
      </c>
      <c r="O59" s="8">
        <f t="shared" si="54"/>
        <v>0.5</v>
      </c>
      <c r="P59" s="8">
        <f t="shared" si="54"/>
        <v>0.99876861179925391</v>
      </c>
      <c r="Q59" s="8">
        <f t="shared" si="54"/>
        <v>0.81630892213955208</v>
      </c>
      <c r="R59" s="8">
        <f t="shared" si="54"/>
        <v>0.63521449417917897</v>
      </c>
      <c r="S59" s="8">
        <f t="shared" si="54"/>
        <v>0.10119800798647949</v>
      </c>
      <c r="T59" s="8">
        <f t="shared" si="54"/>
        <v>0.59143894872303315</v>
      </c>
      <c r="U59" s="8">
        <f t="shared" si="54"/>
        <v>0.97948099256354526</v>
      </c>
      <c r="V59" s="8">
        <f t="shared" si="54"/>
        <v>0.92742286047760347</v>
      </c>
      <c r="W59" s="8">
        <f t="shared" si="54"/>
        <v>0.44918570257336587</v>
      </c>
      <c r="X59" s="8">
        <f t="shared" si="54"/>
        <v>0.5</v>
      </c>
      <c r="Y59" s="8">
        <f t="shared" si="54"/>
        <v>0.71059060751468039</v>
      </c>
      <c r="Z59" s="8">
        <f>1-Z58</f>
        <v>0.57793822420086161</v>
      </c>
    </row>
    <row r="60" spans="2:26" x14ac:dyDescent="0.35">
      <c r="D60" s="2"/>
      <c r="E60" s="275"/>
      <c r="F60" s="2"/>
      <c r="G60" s="2"/>
      <c r="H60" s="2"/>
      <c r="I60" s="2"/>
      <c r="J60" s="2"/>
    </row>
    <row r="61" spans="2:26" x14ac:dyDescent="0.35">
      <c r="D61" s="2"/>
      <c r="E61" s="275"/>
      <c r="F61" s="2"/>
      <c r="G61" s="2"/>
      <c r="H61" s="2"/>
      <c r="I61" s="2"/>
      <c r="J61" s="2"/>
    </row>
    <row r="62" spans="2:26" x14ac:dyDescent="0.35">
      <c r="C62" t="s">
        <v>4</v>
      </c>
      <c r="D62" s="6">
        <f t="shared" ref="D62:J62" si="55">100*D48</f>
        <v>500</v>
      </c>
      <c r="E62" s="6">
        <f>100*E48</f>
        <v>500</v>
      </c>
      <c r="F62" s="6">
        <f t="shared" si="55"/>
        <v>500</v>
      </c>
      <c r="G62" s="6">
        <f t="shared" si="55"/>
        <v>1500</v>
      </c>
      <c r="H62" s="6">
        <f t="shared" si="55"/>
        <v>100</v>
      </c>
      <c r="I62" s="6">
        <f t="shared" si="55"/>
        <v>100</v>
      </c>
      <c r="J62" s="6">
        <f t="shared" si="55"/>
        <v>1000</v>
      </c>
      <c r="K62" s="6">
        <f t="shared" ref="K62:P62" si="56">100*K48</f>
        <v>200</v>
      </c>
      <c r="L62" s="6">
        <f t="shared" si="56"/>
        <v>2000</v>
      </c>
      <c r="M62" s="6">
        <f t="shared" si="56"/>
        <v>2000</v>
      </c>
      <c r="N62" s="6">
        <f t="shared" si="56"/>
        <v>300</v>
      </c>
      <c r="O62" s="6">
        <f t="shared" si="56"/>
        <v>300</v>
      </c>
      <c r="P62" s="6">
        <f t="shared" si="56"/>
        <v>400</v>
      </c>
      <c r="Q62" s="6">
        <f t="shared" ref="Q62:V62" si="57">100*Q48</f>
        <v>1000</v>
      </c>
      <c r="R62" s="6">
        <f t="shared" si="57"/>
        <v>200</v>
      </c>
      <c r="S62" s="6">
        <f t="shared" si="57"/>
        <v>100</v>
      </c>
      <c r="T62" s="6">
        <f t="shared" si="57"/>
        <v>400</v>
      </c>
      <c r="U62" s="6">
        <f t="shared" si="57"/>
        <v>200</v>
      </c>
      <c r="V62" s="6">
        <f t="shared" si="57"/>
        <v>400</v>
      </c>
      <c r="W62" s="6">
        <f>100*W48</f>
        <v>100</v>
      </c>
      <c r="X62" s="6">
        <f>100*X48</f>
        <v>100</v>
      </c>
      <c r="Y62" s="6">
        <f>100*Y48</f>
        <v>500</v>
      </c>
      <c r="Z62" s="6">
        <f>100*Z48</f>
        <v>200</v>
      </c>
    </row>
    <row r="63" spans="2:26" x14ac:dyDescent="0.35">
      <c r="C63" t="s">
        <v>31</v>
      </c>
      <c r="D63" s="3">
        <f>$D$15*D48+$D$14+$D$16*D51</f>
        <v>5</v>
      </c>
      <c r="E63" s="3">
        <f>$D$15*E48+$D$14+$D$16*E51</f>
        <v>5</v>
      </c>
      <c r="F63" s="3">
        <f t="shared" ref="F63:N63" si="58">$D$15*F48+$D$14+$D$16*F51</f>
        <v>5</v>
      </c>
      <c r="G63" s="3">
        <f t="shared" si="58"/>
        <v>5</v>
      </c>
      <c r="H63" s="3">
        <f t="shared" si="58"/>
        <v>5</v>
      </c>
      <c r="I63" s="3">
        <f t="shared" si="58"/>
        <v>5</v>
      </c>
      <c r="J63" s="3">
        <f t="shared" si="58"/>
        <v>5</v>
      </c>
      <c r="K63" s="3">
        <f t="shared" si="58"/>
        <v>5</v>
      </c>
      <c r="L63" s="3">
        <f t="shared" si="58"/>
        <v>5</v>
      </c>
      <c r="M63" s="3">
        <f t="shared" si="58"/>
        <v>5</v>
      </c>
      <c r="N63" s="3">
        <f t="shared" si="58"/>
        <v>5</v>
      </c>
      <c r="O63" s="3">
        <f t="shared" ref="O63:V63" si="59">$D$15*O48+$D$14+$D$16*O51</f>
        <v>5</v>
      </c>
      <c r="P63" s="3">
        <f t="shared" si="59"/>
        <v>22</v>
      </c>
      <c r="Q63" s="3">
        <f t="shared" si="59"/>
        <v>22</v>
      </c>
      <c r="R63" s="3">
        <f t="shared" si="59"/>
        <v>5</v>
      </c>
      <c r="S63" s="3">
        <f t="shared" si="59"/>
        <v>5</v>
      </c>
      <c r="T63" s="3">
        <f t="shared" si="59"/>
        <v>5</v>
      </c>
      <c r="U63" s="3">
        <f t="shared" si="59"/>
        <v>5</v>
      </c>
      <c r="V63" s="3">
        <f t="shared" si="59"/>
        <v>5</v>
      </c>
      <c r="W63" s="3">
        <f>$D$15*W48+$D$14+$D$16*W51</f>
        <v>5</v>
      </c>
      <c r="X63" s="3">
        <f>$D$15*X48+$D$14+$D$16*X51</f>
        <v>5</v>
      </c>
      <c r="Y63" s="3">
        <f>$D$15*Y48+$D$14+$D$16*Y51</f>
        <v>5</v>
      </c>
      <c r="Z63" s="3">
        <f>$D$15*Z48+$D$14+$D$16*Z51</f>
        <v>5</v>
      </c>
    </row>
    <row r="64" spans="2:26" x14ac:dyDescent="0.35">
      <c r="C64" t="s">
        <v>6</v>
      </c>
      <c r="D64" s="3">
        <f t="shared" ref="D64:J64" si="60">D47*D62</f>
        <v>285</v>
      </c>
      <c r="E64" s="3">
        <f>E47*E62</f>
        <v>805</v>
      </c>
      <c r="F64" s="3">
        <f t="shared" si="60"/>
        <v>60</v>
      </c>
      <c r="G64" s="3">
        <f t="shared" si="60"/>
        <v>3930</v>
      </c>
      <c r="H64" s="3">
        <f t="shared" si="60"/>
        <v>200</v>
      </c>
      <c r="I64" s="3">
        <f t="shared" si="60"/>
        <v>50</v>
      </c>
      <c r="J64" s="3">
        <f t="shared" si="60"/>
        <v>300</v>
      </c>
      <c r="K64" s="3">
        <f t="shared" ref="K64:P64" si="61">K47*K62</f>
        <v>130</v>
      </c>
      <c r="L64" s="3">
        <f t="shared" si="61"/>
        <v>480</v>
      </c>
      <c r="M64" s="3">
        <f t="shared" si="61"/>
        <v>200</v>
      </c>
      <c r="N64" s="3">
        <f t="shared" si="61"/>
        <v>450</v>
      </c>
      <c r="O64" s="3">
        <f t="shared" si="61"/>
        <v>66</v>
      </c>
      <c r="P64" s="3">
        <f t="shared" si="61"/>
        <v>100</v>
      </c>
      <c r="Q64" s="3">
        <f t="shared" ref="Q64:V64" si="62">Q47*Q62</f>
        <v>100</v>
      </c>
      <c r="R64" s="3">
        <f t="shared" si="62"/>
        <v>50</v>
      </c>
      <c r="S64" s="3">
        <f t="shared" si="62"/>
        <v>20</v>
      </c>
      <c r="T64" s="3">
        <f t="shared" si="62"/>
        <v>424</v>
      </c>
      <c r="U64" s="3">
        <f t="shared" si="62"/>
        <v>30</v>
      </c>
      <c r="V64" s="3">
        <f t="shared" si="62"/>
        <v>120</v>
      </c>
      <c r="W64" s="3">
        <f>W47*W62</f>
        <v>105</v>
      </c>
      <c r="X64" s="3">
        <f>X47*X62</f>
        <v>90</v>
      </c>
      <c r="Y64" s="3">
        <f>Y47*Y62</f>
        <v>105</v>
      </c>
      <c r="Z64" s="3">
        <f>Z47*Z62</f>
        <v>130</v>
      </c>
    </row>
    <row r="65" spans="3:357" x14ac:dyDescent="0.35">
      <c r="C65" t="s">
        <v>28</v>
      </c>
      <c r="D65" s="3">
        <f t="shared" ref="D65:J65" si="63">D64-D63</f>
        <v>280</v>
      </c>
      <c r="E65" s="3">
        <f>E64-E63</f>
        <v>800</v>
      </c>
      <c r="F65" s="3">
        <f t="shared" si="63"/>
        <v>55</v>
      </c>
      <c r="G65" s="3">
        <f t="shared" si="63"/>
        <v>3925</v>
      </c>
      <c r="H65" s="3">
        <f t="shared" si="63"/>
        <v>195</v>
      </c>
      <c r="I65" s="3">
        <f t="shared" si="63"/>
        <v>45</v>
      </c>
      <c r="J65" s="3">
        <f t="shared" si="63"/>
        <v>295</v>
      </c>
      <c r="K65" s="3">
        <f t="shared" ref="K65:P65" si="64">K64-K63</f>
        <v>125</v>
      </c>
      <c r="L65" s="3">
        <f t="shared" si="64"/>
        <v>475</v>
      </c>
      <c r="M65" s="3">
        <f t="shared" si="64"/>
        <v>195</v>
      </c>
      <c r="N65" s="3">
        <f t="shared" si="64"/>
        <v>445</v>
      </c>
      <c r="O65" s="3">
        <f t="shared" si="64"/>
        <v>61</v>
      </c>
      <c r="P65" s="3">
        <f t="shared" si="64"/>
        <v>78</v>
      </c>
      <c r="Q65" s="3">
        <f t="shared" ref="Q65:V65" si="65">Q64-Q63</f>
        <v>78</v>
      </c>
      <c r="R65" s="3">
        <f t="shared" si="65"/>
        <v>45</v>
      </c>
      <c r="S65" s="3">
        <f t="shared" si="65"/>
        <v>15</v>
      </c>
      <c r="T65" s="3">
        <f t="shared" si="65"/>
        <v>419</v>
      </c>
      <c r="U65" s="3">
        <f t="shared" si="65"/>
        <v>25</v>
      </c>
      <c r="V65" s="3">
        <f t="shared" si="65"/>
        <v>115</v>
      </c>
      <c r="W65" s="3">
        <f>W64-W63</f>
        <v>100</v>
      </c>
      <c r="X65" s="3">
        <f>X64-X63</f>
        <v>85</v>
      </c>
      <c r="Y65" s="3">
        <f>Y64-Y63</f>
        <v>100</v>
      </c>
      <c r="Z65" s="3">
        <f>Z64-Z63</f>
        <v>125</v>
      </c>
    </row>
    <row r="66" spans="3:357" x14ac:dyDescent="0.35">
      <c r="C66" t="s">
        <v>25</v>
      </c>
      <c r="D66" s="7">
        <f t="shared" ref="D66:J66" si="66">D50*D62</f>
        <v>27750</v>
      </c>
      <c r="E66" s="7">
        <f>E50*E62</f>
        <v>27565</v>
      </c>
      <c r="F66" s="7">
        <f t="shared" si="66"/>
        <v>13250</v>
      </c>
      <c r="G66" s="7">
        <f t="shared" si="66"/>
        <v>168000</v>
      </c>
      <c r="H66" s="7">
        <f t="shared" si="66"/>
        <v>800</v>
      </c>
      <c r="I66" s="7">
        <f t="shared" si="66"/>
        <v>7000</v>
      </c>
      <c r="J66" s="7">
        <f t="shared" si="66"/>
        <v>31000</v>
      </c>
      <c r="K66" s="7">
        <f t="shared" ref="K66:P66" si="67">K50*K62</f>
        <v>15000</v>
      </c>
      <c r="L66" s="7">
        <f t="shared" si="67"/>
        <v>24000</v>
      </c>
      <c r="M66" s="7">
        <f t="shared" si="67"/>
        <v>24000</v>
      </c>
      <c r="N66" s="7">
        <f t="shared" si="67"/>
        <v>28200</v>
      </c>
      <c r="O66" s="7">
        <f t="shared" si="67"/>
        <v>7500</v>
      </c>
      <c r="P66" s="7">
        <f t="shared" si="67"/>
        <v>10400</v>
      </c>
      <c r="Q66" s="7">
        <f t="shared" ref="Q66:V66" si="68">Q50*Q62</f>
        <v>16500</v>
      </c>
      <c r="R66" s="7">
        <f t="shared" si="68"/>
        <v>4100</v>
      </c>
      <c r="S66" s="7">
        <f t="shared" si="68"/>
        <v>14000</v>
      </c>
      <c r="T66" s="7">
        <f t="shared" si="68"/>
        <v>19200</v>
      </c>
      <c r="U66" s="7">
        <f t="shared" si="68"/>
        <v>6500</v>
      </c>
      <c r="V66" s="7">
        <f t="shared" si="68"/>
        <v>24000</v>
      </c>
      <c r="W66" s="7">
        <f>W50*W62</f>
        <v>9950</v>
      </c>
      <c r="X66" s="7">
        <f>X50*X62</f>
        <v>615</v>
      </c>
      <c r="Y66" s="7">
        <f>Y50*Y62</f>
        <v>8500</v>
      </c>
      <c r="Z66" s="7">
        <f>Z50*Z62</f>
        <v>6600</v>
      </c>
    </row>
    <row r="67" spans="3:357" x14ac:dyDescent="0.35">
      <c r="C67" t="s">
        <v>83</v>
      </c>
      <c r="D67" s="8">
        <f t="shared" ref="D67:J67" si="69">D65/D66*50/D49</f>
        <v>8.4084084084084076E-2</v>
      </c>
      <c r="E67" s="8">
        <f>E65/E66*50/E49</f>
        <v>0.16123506056391962</v>
      </c>
      <c r="F67" s="8">
        <f t="shared" si="69"/>
        <v>0.10377358490566038</v>
      </c>
      <c r="G67" s="8">
        <f t="shared" si="69"/>
        <v>0.19469246031746032</v>
      </c>
      <c r="H67" s="8">
        <f t="shared" si="69"/>
        <v>0.3482142857142857</v>
      </c>
      <c r="I67" s="8">
        <f t="shared" si="69"/>
        <v>0.1607142857142857</v>
      </c>
      <c r="J67" s="8">
        <f t="shared" si="69"/>
        <v>0.15860215053763441</v>
      </c>
      <c r="K67" s="8">
        <f t="shared" ref="K67:P67" si="70">K65/K66*50/K49</f>
        <v>0.1388888888888889</v>
      </c>
      <c r="L67" s="8">
        <f t="shared" si="70"/>
        <v>0.14136904761904762</v>
      </c>
      <c r="M67" s="8">
        <f t="shared" si="70"/>
        <v>0.13541666666666666</v>
      </c>
      <c r="N67" s="8">
        <f t="shared" si="70"/>
        <v>0.39450354609929073</v>
      </c>
      <c r="O67" s="8">
        <f t="shared" si="70"/>
        <v>0.40666666666666662</v>
      </c>
      <c r="P67" s="8">
        <f t="shared" si="70"/>
        <v>0.125</v>
      </c>
      <c r="Q67" s="8">
        <f t="shared" ref="Q67:V67" si="71">Q65/Q66*50/Q49</f>
        <v>0.23636363636363639</v>
      </c>
      <c r="R67" s="8">
        <f t="shared" si="71"/>
        <v>0.27439024390243899</v>
      </c>
      <c r="S67" s="8">
        <f t="shared" si="71"/>
        <v>2.6785714285714288E-2</v>
      </c>
      <c r="T67" s="8">
        <f t="shared" si="71"/>
        <v>6.0619212962962972E-2</v>
      </c>
      <c r="U67" s="8">
        <f t="shared" si="71"/>
        <v>7.6923076923076927E-3</v>
      </c>
      <c r="V67" s="8">
        <f t="shared" si="71"/>
        <v>0.11979166666666666</v>
      </c>
      <c r="W67" s="8">
        <f>W65/W66*50/W49</f>
        <v>0.10050251256281406</v>
      </c>
      <c r="X67" s="8">
        <f>X65/X66*50/X49</f>
        <v>0.26579111944965605</v>
      </c>
      <c r="Y67" s="8">
        <f>Y65/Y66*50/Y49</f>
        <v>0.19607843137254902</v>
      </c>
      <c r="Z67" s="8">
        <f>Z65/Z66*50/Z49</f>
        <v>0.10521885521885523</v>
      </c>
    </row>
    <row r="68" spans="3:357" x14ac:dyDescent="0.35">
      <c r="C68" t="s">
        <v>26</v>
      </c>
      <c r="D68" s="3">
        <f t="shared" ref="D68:J68" si="72">IF(D51=1,D62*(D46-D50),0)</f>
        <v>0</v>
      </c>
      <c r="E68" s="3">
        <f>IF(E51=1,E62*(E46-E50),0)</f>
        <v>0</v>
      </c>
      <c r="F68" s="3">
        <f t="shared" si="72"/>
        <v>0</v>
      </c>
      <c r="G68" s="3">
        <f t="shared" si="72"/>
        <v>0</v>
      </c>
      <c r="H68" s="3">
        <f t="shared" si="72"/>
        <v>0</v>
      </c>
      <c r="I68" s="3">
        <f t="shared" si="72"/>
        <v>0</v>
      </c>
      <c r="J68" s="3">
        <f t="shared" si="72"/>
        <v>0</v>
      </c>
      <c r="K68" s="3">
        <f t="shared" ref="K68:P68" si="73">IF(K51=1,K62*(K46-K50),0)</f>
        <v>0</v>
      </c>
      <c r="L68" s="3">
        <f t="shared" si="73"/>
        <v>0</v>
      </c>
      <c r="M68" s="3">
        <f t="shared" si="73"/>
        <v>0</v>
      </c>
      <c r="N68" s="3">
        <f t="shared" si="73"/>
        <v>0</v>
      </c>
      <c r="O68" s="3">
        <f t="shared" si="73"/>
        <v>0</v>
      </c>
      <c r="P68" s="3">
        <f t="shared" si="73"/>
        <v>0</v>
      </c>
      <c r="Q68" s="3">
        <f t="shared" ref="Q68:V68" si="74">IF(Q51=1,Q62*(Q46-Q50),0)</f>
        <v>0</v>
      </c>
      <c r="R68" s="3">
        <f t="shared" si="74"/>
        <v>0</v>
      </c>
      <c r="S68" s="3">
        <f t="shared" si="74"/>
        <v>0</v>
      </c>
      <c r="T68" s="3">
        <f t="shared" si="74"/>
        <v>0</v>
      </c>
      <c r="U68" s="3">
        <f t="shared" si="74"/>
        <v>0</v>
      </c>
      <c r="V68" s="3">
        <f t="shared" si="74"/>
        <v>0</v>
      </c>
      <c r="W68" s="3">
        <f>IF(W51=1,W62*(W46-W50),0)</f>
        <v>0</v>
      </c>
      <c r="X68" s="3">
        <f>IF(X51=1,X62*(X46-X50),0)</f>
        <v>0</v>
      </c>
      <c r="Y68" s="3">
        <f>IF(Y51=1,Y62*(Y46-Y50),0)</f>
        <v>0</v>
      </c>
      <c r="Z68" s="3">
        <f>IF(Z51=1,Z62*(Z46-Z50),0)</f>
        <v>0</v>
      </c>
    </row>
    <row r="69" spans="3:357" x14ac:dyDescent="0.35">
      <c r="C69" t="s">
        <v>27</v>
      </c>
      <c r="D69" s="8">
        <f t="shared" ref="D69:J69" si="75">IF(D51=1,D68/D66*50/D49,0)</f>
        <v>0</v>
      </c>
      <c r="E69" s="8">
        <f>IF(E51=1,E68/E66*50/E49,0)</f>
        <v>0</v>
      </c>
      <c r="F69" s="8">
        <f t="shared" si="75"/>
        <v>0</v>
      </c>
      <c r="G69" s="8">
        <f t="shared" si="75"/>
        <v>0</v>
      </c>
      <c r="H69" s="8">
        <f t="shared" si="75"/>
        <v>0</v>
      </c>
      <c r="I69" s="8">
        <f t="shared" si="75"/>
        <v>0</v>
      </c>
      <c r="J69" s="8">
        <f t="shared" si="75"/>
        <v>0</v>
      </c>
      <c r="K69" s="8">
        <f t="shared" ref="K69:P69" si="76">IF(K51=1,K68/K66*50/K49,0)</f>
        <v>0</v>
      </c>
      <c r="L69" s="8">
        <f t="shared" si="76"/>
        <v>0</v>
      </c>
      <c r="M69" s="8">
        <f t="shared" si="76"/>
        <v>0</v>
      </c>
      <c r="N69" s="8">
        <f t="shared" si="76"/>
        <v>0</v>
      </c>
      <c r="O69" s="8">
        <f t="shared" si="76"/>
        <v>0</v>
      </c>
      <c r="P69" s="8">
        <f t="shared" si="76"/>
        <v>0</v>
      </c>
      <c r="Q69" s="8">
        <f t="shared" ref="Q69:V69" si="77">IF(Q51=1,Q68/Q66*50/Q49,0)</f>
        <v>0</v>
      </c>
      <c r="R69" s="8">
        <f t="shared" si="77"/>
        <v>0</v>
      </c>
      <c r="S69" s="8">
        <f t="shared" si="77"/>
        <v>0</v>
      </c>
      <c r="T69" s="8">
        <f t="shared" si="77"/>
        <v>0</v>
      </c>
      <c r="U69" s="8">
        <f t="shared" si="77"/>
        <v>0</v>
      </c>
      <c r="V69" s="8">
        <f t="shared" si="77"/>
        <v>0</v>
      </c>
      <c r="W69" s="8">
        <f>IF(W51=1,W68/W66*50/W49,0)</f>
        <v>0</v>
      </c>
      <c r="X69" s="8">
        <f>IF(X51=1,X68/X66*50/X49,0)</f>
        <v>0</v>
      </c>
      <c r="Y69" s="8">
        <f>IF(Y51=1,Y68/Y66*50/Y49,0)</f>
        <v>0</v>
      </c>
      <c r="Z69" s="8">
        <f>IF(Z51=1,Z68/Z66*50/Z49,0)</f>
        <v>0</v>
      </c>
    </row>
    <row r="70" spans="3:357" x14ac:dyDescent="0.35">
      <c r="C70" t="s">
        <v>34</v>
      </c>
      <c r="D70" s="3">
        <f t="shared" ref="D70:J70" si="78">D65+D68</f>
        <v>280</v>
      </c>
      <c r="E70" s="3">
        <f>E65+E68</f>
        <v>800</v>
      </c>
      <c r="F70" s="3">
        <f t="shared" si="78"/>
        <v>55</v>
      </c>
      <c r="G70" s="3">
        <f t="shared" si="78"/>
        <v>3925</v>
      </c>
      <c r="H70" s="3">
        <f t="shared" si="78"/>
        <v>195</v>
      </c>
      <c r="I70" s="3">
        <f t="shared" si="78"/>
        <v>45</v>
      </c>
      <c r="J70" s="3">
        <f t="shared" si="78"/>
        <v>295</v>
      </c>
      <c r="K70" s="3">
        <f t="shared" ref="K70:P70" si="79">K65+K68</f>
        <v>125</v>
      </c>
      <c r="L70" s="3">
        <f t="shared" si="79"/>
        <v>475</v>
      </c>
      <c r="M70" s="3">
        <f t="shared" si="79"/>
        <v>195</v>
      </c>
      <c r="N70" s="3">
        <f t="shared" si="79"/>
        <v>445</v>
      </c>
      <c r="O70" s="3">
        <f t="shared" si="79"/>
        <v>61</v>
      </c>
      <c r="P70" s="3">
        <f t="shared" si="79"/>
        <v>78</v>
      </c>
      <c r="Q70" s="3">
        <f t="shared" ref="Q70:V70" si="80">Q65+Q68</f>
        <v>78</v>
      </c>
      <c r="R70" s="3">
        <f t="shared" si="80"/>
        <v>45</v>
      </c>
      <c r="S70" s="3">
        <f t="shared" si="80"/>
        <v>15</v>
      </c>
      <c r="T70" s="3">
        <f t="shared" si="80"/>
        <v>419</v>
      </c>
      <c r="U70" s="3">
        <f t="shared" si="80"/>
        <v>25</v>
      </c>
      <c r="V70" s="3">
        <f t="shared" si="80"/>
        <v>115</v>
      </c>
      <c r="W70" s="3">
        <f>W65+W68</f>
        <v>100</v>
      </c>
      <c r="X70" s="3">
        <f>X65+X68</f>
        <v>85</v>
      </c>
      <c r="Y70" s="3">
        <f>Y65+Y68</f>
        <v>100</v>
      </c>
      <c r="Z70" s="3">
        <f>Z65+Z68</f>
        <v>125</v>
      </c>
    </row>
    <row r="71" spans="3:357" x14ac:dyDescent="0.35">
      <c r="C71" t="s">
        <v>84</v>
      </c>
      <c r="D71" s="8">
        <f t="shared" ref="D71:J71" si="81">D70/D66*50/D49</f>
        <v>8.4084084084084076E-2</v>
      </c>
      <c r="E71" s="8">
        <f t="shared" si="81"/>
        <v>0.16123506056391962</v>
      </c>
      <c r="F71" s="8">
        <f t="shared" si="81"/>
        <v>0.10377358490566038</v>
      </c>
      <c r="G71" s="8">
        <f t="shared" si="81"/>
        <v>0.19469246031746032</v>
      </c>
      <c r="H71" s="8">
        <f t="shared" si="81"/>
        <v>0.3482142857142857</v>
      </c>
      <c r="I71" s="8">
        <f t="shared" si="81"/>
        <v>0.1607142857142857</v>
      </c>
      <c r="J71" s="8">
        <f t="shared" si="81"/>
        <v>0.15860215053763441</v>
      </c>
      <c r="K71" s="8">
        <f t="shared" ref="K71:P71" si="82">K70/K66*50/K49</f>
        <v>0.1388888888888889</v>
      </c>
      <c r="L71" s="8">
        <f t="shared" si="82"/>
        <v>0.14136904761904762</v>
      </c>
      <c r="M71" s="8">
        <f t="shared" si="82"/>
        <v>0.13541666666666666</v>
      </c>
      <c r="N71" s="8">
        <f t="shared" si="82"/>
        <v>0.39450354609929073</v>
      </c>
      <c r="O71" s="8">
        <f t="shared" si="82"/>
        <v>0.40666666666666662</v>
      </c>
      <c r="P71" s="8">
        <f t="shared" si="82"/>
        <v>0.125</v>
      </c>
      <c r="Q71" s="8">
        <f t="shared" ref="Q71:V71" si="83">Q70/Q66*50/Q49</f>
        <v>0.23636363636363639</v>
      </c>
      <c r="R71" s="8">
        <f t="shared" si="83"/>
        <v>0.27439024390243899</v>
      </c>
      <c r="S71" s="8">
        <f t="shared" si="83"/>
        <v>2.6785714285714288E-2</v>
      </c>
      <c r="T71" s="8">
        <f t="shared" si="83"/>
        <v>6.0619212962962972E-2</v>
      </c>
      <c r="U71" s="8">
        <f t="shared" si="83"/>
        <v>7.6923076923076927E-3</v>
      </c>
      <c r="V71" s="8">
        <f t="shared" si="83"/>
        <v>0.11979166666666666</v>
      </c>
      <c r="W71" s="8">
        <f>W70/W66*50/W49</f>
        <v>0.10050251256281406</v>
      </c>
      <c r="X71" s="8">
        <f>X70/X66*50/X49</f>
        <v>0.26579111944965605</v>
      </c>
      <c r="Y71" s="8">
        <f>Y70/Y66*50/Y49</f>
        <v>0.19607843137254902</v>
      </c>
      <c r="Z71" s="8">
        <f>Z70/Z66*50/Z49</f>
        <v>0.10521885521885523</v>
      </c>
    </row>
    <row r="72" spans="3:357" x14ac:dyDescent="0.35">
      <c r="C72" t="s">
        <v>69</v>
      </c>
      <c r="D72" s="8">
        <f>D63/D64</f>
        <v>1.7543859649122806E-2</v>
      </c>
      <c r="E72" s="8">
        <f>E63/E64</f>
        <v>6.2111801242236021E-3</v>
      </c>
      <c r="F72" s="8">
        <f t="shared" ref="F72:O72" si="84">F63/F64</f>
        <v>8.3333333333333329E-2</v>
      </c>
      <c r="G72" s="8">
        <f t="shared" si="84"/>
        <v>1.2722646310432571E-3</v>
      </c>
      <c r="H72" s="8">
        <f t="shared" si="84"/>
        <v>2.5000000000000001E-2</v>
      </c>
      <c r="I72" s="8">
        <f t="shared" si="84"/>
        <v>0.1</v>
      </c>
      <c r="J72" s="8">
        <f t="shared" si="84"/>
        <v>1.6666666666666666E-2</v>
      </c>
      <c r="K72" s="8">
        <f t="shared" si="84"/>
        <v>3.8461538461538464E-2</v>
      </c>
      <c r="L72" s="8">
        <f t="shared" si="84"/>
        <v>1.0416666666666666E-2</v>
      </c>
      <c r="M72" s="8">
        <f t="shared" si="84"/>
        <v>2.5000000000000001E-2</v>
      </c>
      <c r="N72" s="8">
        <f t="shared" si="84"/>
        <v>1.1111111111111112E-2</v>
      </c>
      <c r="O72" s="8">
        <f t="shared" si="84"/>
        <v>7.575757575757576E-2</v>
      </c>
      <c r="P72" s="8">
        <f t="shared" ref="P72:V72" si="85">P63/P64</f>
        <v>0.22</v>
      </c>
      <c r="Q72" s="8">
        <f t="shared" si="85"/>
        <v>0.22</v>
      </c>
      <c r="R72" s="8">
        <f t="shared" si="85"/>
        <v>0.1</v>
      </c>
      <c r="S72" s="8">
        <f t="shared" si="85"/>
        <v>0.25</v>
      </c>
      <c r="T72" s="8">
        <f t="shared" si="85"/>
        <v>1.179245283018868E-2</v>
      </c>
      <c r="U72" s="8">
        <f t="shared" si="85"/>
        <v>0.16666666666666666</v>
      </c>
      <c r="V72" s="8">
        <f t="shared" si="85"/>
        <v>4.1666666666666664E-2</v>
      </c>
      <c r="W72" s="8">
        <f>W63/W64</f>
        <v>4.7619047619047616E-2</v>
      </c>
      <c r="X72" s="8">
        <f>X63/X64</f>
        <v>5.5555555555555552E-2</v>
      </c>
      <c r="Y72" s="8">
        <f>Y63/Y64</f>
        <v>4.7619047619047616E-2</v>
      </c>
      <c r="Z72" s="8">
        <f>Z63/Z64</f>
        <v>3.8461538461538464E-2</v>
      </c>
    </row>
    <row r="73" spans="3:357" x14ac:dyDescent="0.35">
      <c r="D73" s="2"/>
      <c r="E73" s="2"/>
      <c r="F73" s="2"/>
      <c r="G73" s="2"/>
      <c r="H73" s="2"/>
      <c r="I73" s="2"/>
      <c r="J73" s="2"/>
    </row>
    <row r="74" spans="3:357" x14ac:dyDescent="0.35">
      <c r="D74" s="28">
        <f>SUMPRODUCT(D71:R71,D66:R66,D49:R49)/SUMPRODUCT(D66:R66,D49:R49)</f>
        <v>0.17841654997649437</v>
      </c>
      <c r="E74" s="2"/>
      <c r="F74" s="2"/>
      <c r="G74" s="2"/>
      <c r="H74" s="2"/>
      <c r="I74" s="2"/>
      <c r="J74" s="2"/>
    </row>
    <row r="75" spans="3:357" x14ac:dyDescent="0.35">
      <c r="D75" s="2"/>
      <c r="E75" s="2"/>
      <c r="F75" s="2"/>
      <c r="G75" s="2"/>
      <c r="H75" s="2"/>
      <c r="I75" s="2"/>
      <c r="J75" s="2"/>
    </row>
    <row r="76" spans="3:357" x14ac:dyDescent="0.35">
      <c r="D76" s="2"/>
      <c r="E76" s="2"/>
      <c r="F76" s="2"/>
      <c r="G76" s="2"/>
      <c r="H76" s="2"/>
      <c r="I76" s="2"/>
      <c r="J76" s="2"/>
    </row>
    <row r="77" spans="3:357" x14ac:dyDescent="0.35">
      <c r="C77" t="s">
        <v>413</v>
      </c>
      <c r="D77" s="2"/>
      <c r="E77" s="2"/>
      <c r="F77" s="2"/>
      <c r="H77" s="2"/>
      <c r="I77" s="2"/>
      <c r="J77" s="2"/>
    </row>
    <row r="78" spans="3:357" ht="18.5" x14ac:dyDescent="0.45">
      <c r="C78" s="1" t="s">
        <v>243</v>
      </c>
    </row>
    <row r="79" spans="3:357" x14ac:dyDescent="0.35">
      <c r="C79" t="s">
        <v>11</v>
      </c>
      <c r="E79" s="280" t="s">
        <v>366</v>
      </c>
      <c r="F79" s="280" t="s">
        <v>366</v>
      </c>
      <c r="G79" s="278" t="s">
        <v>366</v>
      </c>
      <c r="H79" s="278" t="s">
        <v>366</v>
      </c>
      <c r="I79" s="278" t="s">
        <v>414</v>
      </c>
      <c r="J79" s="277" t="s">
        <v>625</v>
      </c>
      <c r="K79" s="277" t="s">
        <v>625</v>
      </c>
      <c r="L79" s="277" t="s">
        <v>414</v>
      </c>
      <c r="M79" s="276" t="s">
        <v>414</v>
      </c>
      <c r="N79" s="277" t="s">
        <v>414</v>
      </c>
      <c r="O79" s="276" t="s">
        <v>373</v>
      </c>
      <c r="P79" s="276" t="s">
        <v>414</v>
      </c>
      <c r="Q79" s="276" t="s">
        <v>614</v>
      </c>
      <c r="R79" s="276" t="s">
        <v>625</v>
      </c>
      <c r="S79" s="274" t="s">
        <v>181</v>
      </c>
      <c r="T79" s="274" t="s">
        <v>181</v>
      </c>
      <c r="U79" s="274" t="s">
        <v>181</v>
      </c>
      <c r="V79" s="274" t="s">
        <v>181</v>
      </c>
      <c r="W79" s="273" t="s">
        <v>374</v>
      </c>
      <c r="X79" s="272" t="s">
        <v>625</v>
      </c>
      <c r="Y79" s="272" t="s">
        <v>33</v>
      </c>
      <c r="Z79" s="271" t="s">
        <v>366</v>
      </c>
      <c r="AA79" s="271" t="s">
        <v>366</v>
      </c>
      <c r="AB79" s="270" t="s">
        <v>625</v>
      </c>
      <c r="AC79" s="270" t="s">
        <v>373</v>
      </c>
      <c r="AD79" s="270" t="s">
        <v>373</v>
      </c>
      <c r="AE79" s="269" t="s">
        <v>366</v>
      </c>
      <c r="AF79" s="269" t="s">
        <v>366</v>
      </c>
      <c r="AG79" s="268" t="s">
        <v>614</v>
      </c>
      <c r="AH79" s="268" t="s">
        <v>438</v>
      </c>
      <c r="AI79" s="267" t="s">
        <v>438</v>
      </c>
      <c r="AJ79" s="266" t="s">
        <v>414</v>
      </c>
      <c r="AK79" s="266" t="s">
        <v>414</v>
      </c>
      <c r="AL79" s="264" t="s">
        <v>625</v>
      </c>
      <c r="AM79" s="264" t="s">
        <v>181</v>
      </c>
      <c r="AN79" s="264" t="s">
        <v>181</v>
      </c>
      <c r="AO79" s="264" t="s">
        <v>373</v>
      </c>
      <c r="AP79" s="264" t="s">
        <v>414</v>
      </c>
      <c r="AQ79" s="264" t="s">
        <v>91</v>
      </c>
      <c r="AR79" s="263" t="s">
        <v>628</v>
      </c>
      <c r="AS79" s="263" t="s">
        <v>628</v>
      </c>
      <c r="AT79" s="263" t="s">
        <v>438</v>
      </c>
      <c r="AU79" s="263" t="s">
        <v>91</v>
      </c>
      <c r="AV79" s="263" t="s">
        <v>628</v>
      </c>
      <c r="AW79" s="263" t="s">
        <v>628</v>
      </c>
      <c r="AX79" s="263" t="s">
        <v>625</v>
      </c>
      <c r="AY79" s="263" t="s">
        <v>625</v>
      </c>
      <c r="AZ79" s="263" t="s">
        <v>92</v>
      </c>
      <c r="BA79" s="261" t="s">
        <v>625</v>
      </c>
      <c r="BB79" s="261" t="s">
        <v>625</v>
      </c>
      <c r="BC79" s="261" t="s">
        <v>414</v>
      </c>
      <c r="BD79" s="261" t="s">
        <v>414</v>
      </c>
      <c r="BE79" s="261" t="s">
        <v>93</v>
      </c>
      <c r="BF79" s="260" t="s">
        <v>374</v>
      </c>
      <c r="BG79" s="260" t="s">
        <v>374</v>
      </c>
      <c r="BH79" s="259" t="s">
        <v>374</v>
      </c>
      <c r="BI79" s="259" t="s">
        <v>628</v>
      </c>
      <c r="BJ79" s="259" t="s">
        <v>628</v>
      </c>
      <c r="BK79" s="259" t="s">
        <v>93</v>
      </c>
      <c r="BL79" s="259" t="s">
        <v>93</v>
      </c>
      <c r="BM79" s="259" t="s">
        <v>93</v>
      </c>
      <c r="BN79" s="259" t="s">
        <v>374</v>
      </c>
      <c r="BO79" s="259" t="s">
        <v>438</v>
      </c>
      <c r="BP79" s="259" t="s">
        <v>438</v>
      </c>
      <c r="BQ79" s="259" t="s">
        <v>374</v>
      </c>
      <c r="BR79" s="259" t="s">
        <v>414</v>
      </c>
      <c r="BS79" s="259" t="s">
        <v>414</v>
      </c>
      <c r="BT79" s="256" t="s">
        <v>414</v>
      </c>
      <c r="BU79" s="256" t="s">
        <v>414</v>
      </c>
      <c r="BV79" s="256" t="s">
        <v>33</v>
      </c>
      <c r="BW79" s="256" t="s">
        <v>33</v>
      </c>
      <c r="BX79" s="256" t="s">
        <v>338</v>
      </c>
      <c r="BY79" s="256" t="s">
        <v>414</v>
      </c>
      <c r="BZ79" s="256" t="s">
        <v>414</v>
      </c>
      <c r="CA79" s="256" t="s">
        <v>438</v>
      </c>
      <c r="CB79" s="256" t="s">
        <v>438</v>
      </c>
      <c r="CC79" s="256" t="s">
        <v>338</v>
      </c>
      <c r="CD79" s="256" t="s">
        <v>374</v>
      </c>
      <c r="CE79" s="251" t="s">
        <v>366</v>
      </c>
      <c r="CF79" s="249" t="s">
        <v>438</v>
      </c>
      <c r="CG79" s="249" t="s">
        <v>414</v>
      </c>
      <c r="CH79" s="249" t="s">
        <v>414</v>
      </c>
      <c r="CI79" s="246" t="s">
        <v>414</v>
      </c>
      <c r="CJ79" s="244" t="s">
        <v>373</v>
      </c>
      <c r="CK79" s="244" t="s">
        <v>373</v>
      </c>
      <c r="CL79" s="241" t="s">
        <v>92</v>
      </c>
      <c r="CM79" s="241" t="s">
        <v>92</v>
      </c>
      <c r="CN79" s="241" t="s">
        <v>385</v>
      </c>
      <c r="CO79" s="241" t="s">
        <v>438</v>
      </c>
      <c r="CP79" s="241" t="s">
        <v>438</v>
      </c>
      <c r="CQ79" s="241" t="s">
        <v>436</v>
      </c>
      <c r="CR79" s="241" t="s">
        <v>436</v>
      </c>
      <c r="CS79" s="241" t="s">
        <v>380</v>
      </c>
      <c r="CT79" s="241" t="s">
        <v>380</v>
      </c>
      <c r="CU79" s="241" t="s">
        <v>338</v>
      </c>
      <c r="CV79" s="241" t="s">
        <v>438</v>
      </c>
      <c r="CW79" s="241" t="s">
        <v>438</v>
      </c>
      <c r="CX79" s="241" t="s">
        <v>414</v>
      </c>
      <c r="CY79" s="240" t="s">
        <v>414</v>
      </c>
      <c r="CZ79" s="239" t="s">
        <v>374</v>
      </c>
      <c r="DA79" s="238" t="s">
        <v>366</v>
      </c>
      <c r="DB79" s="237" t="s">
        <v>355</v>
      </c>
      <c r="DC79" s="237" t="s">
        <v>374</v>
      </c>
      <c r="DD79" s="235" t="s">
        <v>366</v>
      </c>
      <c r="DE79" s="234" t="s">
        <v>374</v>
      </c>
      <c r="DF79" s="234" t="s">
        <v>438</v>
      </c>
      <c r="DG79" s="234" t="s">
        <v>438</v>
      </c>
      <c r="DH79" s="234" t="s">
        <v>389</v>
      </c>
      <c r="DI79" s="234" t="s">
        <v>389</v>
      </c>
      <c r="DJ79" s="233" t="s">
        <v>374</v>
      </c>
      <c r="DK79" s="232" t="s">
        <v>384</v>
      </c>
      <c r="DL79" s="231" t="s">
        <v>380</v>
      </c>
      <c r="DM79" s="231" t="s">
        <v>380</v>
      </c>
      <c r="DN79" s="230" t="s">
        <v>338</v>
      </c>
      <c r="DO79" s="228" t="s">
        <v>355</v>
      </c>
      <c r="DP79" s="229" t="s">
        <v>355</v>
      </c>
      <c r="DQ79" s="229" t="s">
        <v>374</v>
      </c>
      <c r="DR79" s="227" t="s">
        <v>338</v>
      </c>
      <c r="DS79" s="227" t="s">
        <v>338</v>
      </c>
      <c r="DT79" s="227" t="s">
        <v>338</v>
      </c>
      <c r="DU79" s="227" t="s">
        <v>338</v>
      </c>
      <c r="DV79" s="228" t="s">
        <v>370</v>
      </c>
      <c r="DW79" s="227" t="s">
        <v>338</v>
      </c>
      <c r="DX79" s="227" t="s">
        <v>414</v>
      </c>
      <c r="DY79" s="227" t="s">
        <v>414</v>
      </c>
      <c r="DZ79" s="226" t="s">
        <v>414</v>
      </c>
      <c r="EA79" s="223" t="s">
        <v>389</v>
      </c>
      <c r="EB79" s="220" t="s">
        <v>389</v>
      </c>
      <c r="EC79" s="220" t="s">
        <v>389</v>
      </c>
      <c r="ED79" s="220" t="s">
        <v>389</v>
      </c>
      <c r="EE79" s="220" t="s">
        <v>389</v>
      </c>
      <c r="EF79" s="220" t="s">
        <v>338</v>
      </c>
      <c r="EG79" s="220" t="s">
        <v>374</v>
      </c>
      <c r="EH79" s="220" t="s">
        <v>338</v>
      </c>
      <c r="EI79" s="220" t="s">
        <v>338</v>
      </c>
      <c r="EJ79" s="222" t="s">
        <v>93</v>
      </c>
      <c r="EK79" s="216" t="s">
        <v>389</v>
      </c>
      <c r="EL79" s="216" t="s">
        <v>338</v>
      </c>
      <c r="EM79" s="216" t="s">
        <v>384</v>
      </c>
      <c r="EN79" s="212" t="s">
        <v>72</v>
      </c>
      <c r="EO79" s="214" t="s">
        <v>414</v>
      </c>
      <c r="EP79" s="214" t="s">
        <v>414</v>
      </c>
      <c r="EQ79" s="214" t="s">
        <v>384</v>
      </c>
      <c r="ER79" s="214" t="s">
        <v>384</v>
      </c>
      <c r="ES79" s="214" t="s">
        <v>384</v>
      </c>
      <c r="ET79" s="214" t="s">
        <v>366</v>
      </c>
      <c r="EU79" s="213" t="s">
        <v>384</v>
      </c>
      <c r="EV79" s="212" t="s">
        <v>366</v>
      </c>
      <c r="EW79" s="211" t="s">
        <v>91</v>
      </c>
      <c r="EX79" s="211" t="s">
        <v>91</v>
      </c>
      <c r="EY79" s="211" t="s">
        <v>184</v>
      </c>
      <c r="EZ79" s="210" t="s">
        <v>338</v>
      </c>
      <c r="FA79" s="210" t="s">
        <v>92</v>
      </c>
      <c r="FB79" s="209" t="s">
        <v>93</v>
      </c>
      <c r="FC79" s="209" t="s">
        <v>93</v>
      </c>
      <c r="FD79" s="209" t="s">
        <v>389</v>
      </c>
      <c r="FE79" s="209" t="s">
        <v>389</v>
      </c>
      <c r="FF79" s="209" t="s">
        <v>93</v>
      </c>
      <c r="FG79" s="208" t="s">
        <v>93</v>
      </c>
      <c r="FH79" s="208" t="s">
        <v>374</v>
      </c>
      <c r="FI79" s="208" t="s">
        <v>368</v>
      </c>
      <c r="FJ79" s="208" t="s">
        <v>368</v>
      </c>
      <c r="FK79" s="208" t="s">
        <v>370</v>
      </c>
      <c r="FL79" s="208" t="s">
        <v>355</v>
      </c>
      <c r="FM79" s="208" t="s">
        <v>338</v>
      </c>
      <c r="FN79" s="208" t="s">
        <v>184</v>
      </c>
      <c r="FO79" s="208" t="s">
        <v>373</v>
      </c>
      <c r="FP79" s="208" t="s">
        <v>373</v>
      </c>
      <c r="FQ79" s="208" t="s">
        <v>184</v>
      </c>
      <c r="FR79" s="206" t="s">
        <v>374</v>
      </c>
      <c r="FS79" s="206" t="s">
        <v>374</v>
      </c>
      <c r="FT79" s="205" t="s">
        <v>366</v>
      </c>
      <c r="FU79" s="205" t="s">
        <v>366</v>
      </c>
      <c r="FV79" s="205" t="s">
        <v>405</v>
      </c>
      <c r="FW79" s="205" t="s">
        <v>93</v>
      </c>
      <c r="FX79" s="205" t="s">
        <v>355</v>
      </c>
      <c r="FY79" s="203" t="s">
        <v>370</v>
      </c>
      <c r="FZ79" s="203" t="s">
        <v>374</v>
      </c>
      <c r="GA79" s="203" t="s">
        <v>184</v>
      </c>
      <c r="GB79" s="203" t="s">
        <v>93</v>
      </c>
      <c r="GC79" s="203" t="s">
        <v>93</v>
      </c>
      <c r="GD79" s="202" t="s">
        <v>184</v>
      </c>
      <c r="GE79" s="200" t="s">
        <v>93</v>
      </c>
      <c r="GF79" s="198" t="s">
        <v>374</v>
      </c>
      <c r="GG79" s="198" t="s">
        <v>93</v>
      </c>
      <c r="GH79" s="198" t="s">
        <v>374</v>
      </c>
      <c r="GI79" s="198" t="s">
        <v>1</v>
      </c>
      <c r="GJ79" s="198" t="s">
        <v>1</v>
      </c>
      <c r="GK79" s="198" t="s">
        <v>1</v>
      </c>
      <c r="GL79" s="198" t="s">
        <v>1</v>
      </c>
      <c r="GM79" s="197" t="s">
        <v>374</v>
      </c>
      <c r="GN79" s="197" t="s">
        <v>366</v>
      </c>
      <c r="GO79" s="197" t="s">
        <v>366</v>
      </c>
      <c r="GP79" s="197" t="s">
        <v>366</v>
      </c>
      <c r="GQ79" s="197" t="s">
        <v>93</v>
      </c>
      <c r="GR79" s="195" t="s">
        <v>366</v>
      </c>
      <c r="GS79" s="195" t="s">
        <v>370</v>
      </c>
      <c r="GT79" s="195" t="s">
        <v>184</v>
      </c>
      <c r="GU79" s="195" t="s">
        <v>355</v>
      </c>
      <c r="GV79" s="193" t="s">
        <v>366</v>
      </c>
      <c r="GW79" s="192" t="s">
        <v>374</v>
      </c>
      <c r="GX79" s="192" t="s">
        <v>93</v>
      </c>
      <c r="GY79" s="189" t="s">
        <v>93</v>
      </c>
      <c r="GZ79" s="189" t="s">
        <v>93</v>
      </c>
      <c r="HA79" s="189" t="s">
        <v>372</v>
      </c>
      <c r="HB79" s="189" t="s">
        <v>180</v>
      </c>
      <c r="HC79" s="189" t="s">
        <v>87</v>
      </c>
      <c r="HD79" s="189" t="s">
        <v>72</v>
      </c>
      <c r="HE79" s="185" t="s">
        <v>87</v>
      </c>
      <c r="HF79" s="185" t="s">
        <v>1</v>
      </c>
      <c r="HG79" s="185" t="s">
        <v>355</v>
      </c>
      <c r="HH79" s="185" t="s">
        <v>370</v>
      </c>
      <c r="HI79" s="185" t="s">
        <v>370</v>
      </c>
      <c r="HJ79" s="185" t="s">
        <v>370</v>
      </c>
      <c r="HK79" s="185" t="s">
        <v>370</v>
      </c>
      <c r="HL79" s="184" t="s">
        <v>370</v>
      </c>
      <c r="HM79" s="184" t="s">
        <v>33</v>
      </c>
      <c r="HN79" s="184" t="s">
        <v>93</v>
      </c>
      <c r="HO79" s="184" t="s">
        <v>370</v>
      </c>
      <c r="HP79" s="183" t="s">
        <v>72</v>
      </c>
      <c r="HQ79" s="183" t="s">
        <v>91</v>
      </c>
      <c r="HR79" s="183" t="s">
        <v>91</v>
      </c>
      <c r="HS79" s="182" t="s">
        <v>93</v>
      </c>
      <c r="HT79" s="182" t="s">
        <v>370</v>
      </c>
      <c r="HU79" s="182" t="s">
        <v>87</v>
      </c>
      <c r="HV79" s="178" t="s">
        <v>72</v>
      </c>
      <c r="HW79" s="175" t="s">
        <v>180</v>
      </c>
      <c r="HX79" s="175" t="s">
        <v>184</v>
      </c>
      <c r="HY79" s="175" t="s">
        <v>87</v>
      </c>
      <c r="HZ79" s="175" t="s">
        <v>355</v>
      </c>
      <c r="IA79" s="175" t="s">
        <v>370</v>
      </c>
      <c r="IB79" s="174" t="s">
        <v>184</v>
      </c>
      <c r="IC79" s="174" t="s">
        <v>93</v>
      </c>
      <c r="ID79" s="173" t="s">
        <v>184</v>
      </c>
      <c r="IE79" s="172" t="s">
        <v>181</v>
      </c>
      <c r="IF79" s="172" t="s">
        <v>374</v>
      </c>
      <c r="IG79" s="171" t="s">
        <v>72</v>
      </c>
      <c r="IH79" s="170" t="s">
        <v>374</v>
      </c>
      <c r="II79" s="170" t="s">
        <v>355</v>
      </c>
      <c r="IJ79" s="167" t="s">
        <v>372</v>
      </c>
      <c r="IK79" s="167" t="s">
        <v>1</v>
      </c>
      <c r="IL79" s="167" t="s">
        <v>184</v>
      </c>
      <c r="IM79" s="164" t="s">
        <v>366</v>
      </c>
      <c r="IN79" s="164" t="s">
        <v>72</v>
      </c>
      <c r="IO79" s="164" t="s">
        <v>338</v>
      </c>
      <c r="IP79" s="159" t="s">
        <v>91</v>
      </c>
      <c r="IQ79" s="159" t="s">
        <v>374</v>
      </c>
      <c r="IR79" s="157" t="s">
        <v>372</v>
      </c>
      <c r="IS79" s="154" t="s">
        <v>366</v>
      </c>
      <c r="IT79" s="153" t="s">
        <v>72</v>
      </c>
      <c r="IU79" s="152" t="s">
        <v>72</v>
      </c>
      <c r="IV79" s="152" t="s">
        <v>72</v>
      </c>
      <c r="IW79" s="151" t="s">
        <v>1</v>
      </c>
      <c r="IX79" s="151" t="s">
        <v>366</v>
      </c>
      <c r="IY79" s="151" t="s">
        <v>184</v>
      </c>
      <c r="IZ79" s="151" t="s">
        <v>33</v>
      </c>
      <c r="JA79" s="151" t="s">
        <v>180</v>
      </c>
      <c r="JB79" s="151" t="s">
        <v>184</v>
      </c>
      <c r="JC79" s="151" t="s">
        <v>184</v>
      </c>
      <c r="JD79" s="151" t="s">
        <v>184</v>
      </c>
      <c r="JE79" s="150" t="s">
        <v>184</v>
      </c>
      <c r="JF79" s="150" t="s">
        <v>184</v>
      </c>
      <c r="JG79" s="150" t="s">
        <v>72</v>
      </c>
      <c r="JH79" s="149" t="s">
        <v>72</v>
      </c>
      <c r="JI79" s="149" t="s">
        <v>366</v>
      </c>
      <c r="JJ79" s="147" t="s">
        <v>72</v>
      </c>
      <c r="JK79" s="147" t="s">
        <v>72</v>
      </c>
      <c r="JL79" s="147" t="s">
        <v>93</v>
      </c>
      <c r="JM79" s="146" t="s">
        <v>1</v>
      </c>
      <c r="JN79" s="146" t="s">
        <v>93</v>
      </c>
      <c r="JO79" s="145" t="s">
        <v>184</v>
      </c>
      <c r="JP79" s="145" t="s">
        <v>184</v>
      </c>
      <c r="JQ79" s="145" t="s">
        <v>1</v>
      </c>
      <c r="JR79" s="144" t="s">
        <v>363</v>
      </c>
      <c r="JS79" s="144" t="s">
        <v>93</v>
      </c>
      <c r="JT79" s="143" t="s">
        <v>86</v>
      </c>
      <c r="JU79" s="143" t="s">
        <v>72</v>
      </c>
      <c r="JV79" s="142" t="s">
        <v>184</v>
      </c>
      <c r="JW79" s="142" t="s">
        <v>93</v>
      </c>
      <c r="JX79" s="141" t="s">
        <v>72</v>
      </c>
      <c r="JY79" s="141" t="s">
        <v>184</v>
      </c>
      <c r="JZ79" s="141" t="s">
        <v>184</v>
      </c>
      <c r="KA79" s="140" t="s">
        <v>184</v>
      </c>
      <c r="KB79" s="139" t="s">
        <v>184</v>
      </c>
      <c r="KC79" s="138" t="s">
        <v>184</v>
      </c>
      <c r="KD79" s="136" t="s">
        <v>91</v>
      </c>
      <c r="KE79" s="130" t="s">
        <v>93</v>
      </c>
      <c r="KF79" t="s">
        <v>184</v>
      </c>
      <c r="KG79" s="126" t="s">
        <v>87</v>
      </c>
      <c r="KH79" s="124" t="s">
        <v>93</v>
      </c>
      <c r="KI79" s="124" t="s">
        <v>72</v>
      </c>
      <c r="KJ79" s="123" t="s">
        <v>91</v>
      </c>
      <c r="KK79" s="123" t="s">
        <v>87</v>
      </c>
      <c r="KL79" s="123" t="s">
        <v>343</v>
      </c>
      <c r="KM79" s="121" t="s">
        <v>91</v>
      </c>
      <c r="KN79" s="121" t="s">
        <v>87</v>
      </c>
      <c r="KO79" t="s">
        <v>184</v>
      </c>
      <c r="KP79" s="119" t="s">
        <v>343</v>
      </c>
      <c r="KQ79" s="118" t="s">
        <v>91</v>
      </c>
      <c r="KR79" s="118" t="s">
        <v>1</v>
      </c>
      <c r="KS79" s="118" t="s">
        <v>1</v>
      </c>
      <c r="KT79" s="114" t="s">
        <v>87</v>
      </c>
      <c r="KU79" s="113" t="s">
        <v>91</v>
      </c>
      <c r="KV79" s="111" t="s">
        <v>72</v>
      </c>
      <c r="KW79" s="108" t="s">
        <v>72</v>
      </c>
      <c r="KX79" s="108" t="s">
        <v>33</v>
      </c>
      <c r="KY79" s="107" t="s">
        <v>91</v>
      </c>
      <c r="KZ79" s="107" t="s">
        <v>91</v>
      </c>
      <c r="LA79" s="107" t="s">
        <v>1</v>
      </c>
      <c r="LB79" s="107" t="s">
        <v>1</v>
      </c>
      <c r="LC79" s="107" t="s">
        <v>1</v>
      </c>
      <c r="LD79" s="107" t="s">
        <v>91</v>
      </c>
      <c r="LE79" s="107" t="s">
        <v>180</v>
      </c>
      <c r="LF79" s="107" t="s">
        <v>33</v>
      </c>
      <c r="LG79" s="107" t="s">
        <v>184</v>
      </c>
      <c r="LH79" s="107" t="s">
        <v>72</v>
      </c>
      <c r="LI79" s="107" t="s">
        <v>72</v>
      </c>
      <c r="LJ79" s="106" t="s">
        <v>1</v>
      </c>
      <c r="LK79" s="106" t="s">
        <v>1</v>
      </c>
      <c r="LL79" s="105" t="s">
        <v>184</v>
      </c>
      <c r="LM79" s="105" t="s">
        <v>72</v>
      </c>
      <c r="LN79" s="105" t="s">
        <v>72</v>
      </c>
      <c r="LO79" s="104" t="s">
        <v>91</v>
      </c>
      <c r="LP79" s="104" t="s">
        <v>1</v>
      </c>
      <c r="LQ79" s="103" t="s">
        <v>180</v>
      </c>
      <c r="LR79" s="102" t="s">
        <v>91</v>
      </c>
      <c r="LS79" s="101" t="s">
        <v>72</v>
      </c>
      <c r="LT79" s="100" t="s">
        <v>93</v>
      </c>
      <c r="LU79" s="100" t="s">
        <v>91</v>
      </c>
      <c r="LV79" s="99" t="s">
        <v>72</v>
      </c>
      <c r="LW79" s="92" t="s">
        <v>72</v>
      </c>
      <c r="LX79" s="91" t="s">
        <v>93</v>
      </c>
      <c r="LY79" s="91" t="s">
        <v>91</v>
      </c>
      <c r="LZ79" s="91" t="s">
        <v>87</v>
      </c>
      <c r="MA79" s="90" t="s">
        <v>93</v>
      </c>
      <c r="MB79" s="90" t="s">
        <v>91</v>
      </c>
      <c r="MC79" s="90" t="s">
        <v>93</v>
      </c>
      <c r="MD79" s="90" t="s">
        <v>72</v>
      </c>
      <c r="ME79" s="90" t="s">
        <v>87</v>
      </c>
      <c r="MF79" s="90" t="s">
        <v>87</v>
      </c>
      <c r="MG79" s="90" t="s">
        <v>180</v>
      </c>
      <c r="MH79" s="90" t="s">
        <v>33</v>
      </c>
      <c r="MI79" s="90" t="s">
        <v>1</v>
      </c>
      <c r="MJ79" s="90" t="s">
        <v>72</v>
      </c>
      <c r="MK79" s="90" t="s">
        <v>72</v>
      </c>
      <c r="ML79" s="90" t="s">
        <v>91</v>
      </c>
      <c r="MM79" s="90" t="s">
        <v>93</v>
      </c>
      <c r="MN79" s="90" t="s">
        <v>91</v>
      </c>
      <c r="MO79" s="90" t="s">
        <v>1</v>
      </c>
      <c r="MP79" s="90" t="s">
        <v>1</v>
      </c>
      <c r="MQ79" s="90" t="s">
        <v>0</v>
      </c>
      <c r="MR79" s="90" t="s">
        <v>33</v>
      </c>
      <c r="MS79" s="90" t="s">
        <v>91</v>
      </c>
    </row>
    <row r="80" spans="3:357" x14ac:dyDescent="0.35">
      <c r="C80" t="s">
        <v>244</v>
      </c>
      <c r="E80" s="3">
        <v>0.52</v>
      </c>
      <c r="F80" s="3">
        <v>0.52</v>
      </c>
      <c r="G80" s="3">
        <v>0.14000000000000001</v>
      </c>
      <c r="H80" s="3">
        <v>0.14000000000000001</v>
      </c>
      <c r="I80" s="3">
        <v>0.02</v>
      </c>
      <c r="J80" s="3">
        <v>1.25</v>
      </c>
      <c r="K80" s="3">
        <v>1.25</v>
      </c>
      <c r="L80" s="3">
        <v>6.15</v>
      </c>
      <c r="M80" s="3">
        <v>0.02</v>
      </c>
      <c r="N80" s="3">
        <v>6.12</v>
      </c>
      <c r="O80" s="3">
        <v>0.83</v>
      </c>
      <c r="P80" s="3">
        <v>0.3</v>
      </c>
      <c r="Q80" s="3">
        <v>5.2</v>
      </c>
      <c r="R80" s="3">
        <v>3.9</v>
      </c>
      <c r="S80" s="3">
        <v>2.12</v>
      </c>
      <c r="T80" s="3">
        <v>3.1</v>
      </c>
      <c r="U80" s="3">
        <v>3.1</v>
      </c>
      <c r="V80" s="3">
        <v>2.12</v>
      </c>
      <c r="W80" s="3">
        <v>0.26</v>
      </c>
      <c r="X80" s="3">
        <v>2.35</v>
      </c>
      <c r="Y80" s="3">
        <v>1.39</v>
      </c>
      <c r="Z80" s="3">
        <v>1.03</v>
      </c>
      <c r="AA80" s="3">
        <v>1.19</v>
      </c>
      <c r="AB80" s="3">
        <v>4.4000000000000004</v>
      </c>
      <c r="AC80" s="3">
        <v>1.1499999999999999</v>
      </c>
      <c r="AD80" s="3">
        <v>1.64</v>
      </c>
      <c r="AE80" s="3">
        <v>0.57999999999999996</v>
      </c>
      <c r="AF80" s="3">
        <v>0.46</v>
      </c>
      <c r="AG80" s="3">
        <v>4.5</v>
      </c>
      <c r="AH80" s="3">
        <v>6.17</v>
      </c>
      <c r="AI80" s="3">
        <v>2.35</v>
      </c>
      <c r="AJ80" s="3">
        <v>0.57999999999999996</v>
      </c>
      <c r="AK80" s="3">
        <v>0.56999999999999995</v>
      </c>
      <c r="AL80" s="3">
        <v>1</v>
      </c>
      <c r="AM80" s="3">
        <v>2.72</v>
      </c>
      <c r="AN80" s="3">
        <v>2.73</v>
      </c>
      <c r="AO80" s="3">
        <v>1.1100000000000001</v>
      </c>
      <c r="AP80" s="3">
        <v>2.98</v>
      </c>
      <c r="AQ80" s="3">
        <v>1.2</v>
      </c>
      <c r="AR80" s="3">
        <v>0.61</v>
      </c>
      <c r="AS80" s="3">
        <v>0.67</v>
      </c>
      <c r="AT80" s="3">
        <v>0.25</v>
      </c>
      <c r="AU80" s="3">
        <v>1.33</v>
      </c>
      <c r="AV80" s="3">
        <v>1.75</v>
      </c>
      <c r="AW80" s="3">
        <v>1.95</v>
      </c>
      <c r="AX80" s="3">
        <v>4.5999999999999996</v>
      </c>
      <c r="AY80" s="3">
        <v>4.7</v>
      </c>
      <c r="AZ80" s="3">
        <v>1.51</v>
      </c>
      <c r="BA80" s="3">
        <v>2.44</v>
      </c>
      <c r="BB80" s="3">
        <v>2.35</v>
      </c>
      <c r="BC80" s="3">
        <v>6.5</v>
      </c>
      <c r="BD80" s="3">
        <v>6.6</v>
      </c>
      <c r="BE80" s="3">
        <v>0.35</v>
      </c>
      <c r="BF80" s="3">
        <v>1.0900000000000001</v>
      </c>
      <c r="BG80" s="3">
        <v>1.28</v>
      </c>
      <c r="BH80" s="3">
        <v>0.83</v>
      </c>
      <c r="BI80" s="3">
        <v>1.55</v>
      </c>
      <c r="BJ80" s="3">
        <v>1.89</v>
      </c>
      <c r="BK80" s="3">
        <v>1.47</v>
      </c>
      <c r="BL80" s="3">
        <v>1.7</v>
      </c>
      <c r="BM80" s="3">
        <v>0.4</v>
      </c>
      <c r="BN80" s="3">
        <v>0.73</v>
      </c>
      <c r="BO80" s="3">
        <v>3.79</v>
      </c>
      <c r="BP80" s="3">
        <v>4</v>
      </c>
      <c r="BQ80" s="3">
        <v>3.85</v>
      </c>
      <c r="BR80" s="3">
        <v>6.36</v>
      </c>
      <c r="BS80" s="3">
        <v>6.35</v>
      </c>
      <c r="BT80" s="3">
        <v>0.62</v>
      </c>
      <c r="BU80" s="3">
        <v>2.64</v>
      </c>
      <c r="BV80" s="3">
        <v>1.52</v>
      </c>
      <c r="BW80" s="3">
        <v>1.52</v>
      </c>
      <c r="BX80" s="3">
        <v>0.31</v>
      </c>
      <c r="BY80" s="3">
        <v>0.57999999999999996</v>
      </c>
      <c r="BZ80" s="3">
        <v>2.58</v>
      </c>
      <c r="CA80" s="3">
        <v>0.25</v>
      </c>
      <c r="CB80" s="3">
        <v>0.15</v>
      </c>
      <c r="CC80" s="3">
        <v>0.28000000000000003</v>
      </c>
      <c r="CD80" s="3">
        <v>3.18</v>
      </c>
      <c r="CE80" s="3">
        <v>0.06</v>
      </c>
      <c r="CF80" s="3">
        <v>0.53</v>
      </c>
      <c r="CG80" s="3">
        <v>4.68</v>
      </c>
      <c r="CH80" s="3">
        <v>4.7</v>
      </c>
      <c r="CI80" s="3">
        <v>3.2</v>
      </c>
      <c r="CJ80" s="3">
        <v>7.47</v>
      </c>
      <c r="CK80" s="3">
        <v>8.49</v>
      </c>
      <c r="CL80" s="3">
        <v>0.62</v>
      </c>
      <c r="CM80" s="3">
        <v>0.64</v>
      </c>
      <c r="CN80" s="3">
        <v>1.49</v>
      </c>
      <c r="CO80" s="3">
        <v>7.97</v>
      </c>
      <c r="CP80" s="3">
        <v>8</v>
      </c>
      <c r="CQ80" s="3">
        <v>0.99</v>
      </c>
      <c r="CR80" s="3">
        <v>1.02</v>
      </c>
      <c r="CS80" s="3">
        <v>2.65</v>
      </c>
      <c r="CT80" s="3">
        <v>3.6</v>
      </c>
      <c r="CU80" s="3">
        <v>1.48</v>
      </c>
      <c r="CV80" s="3">
        <v>1.98</v>
      </c>
      <c r="CW80" s="3">
        <v>2.94</v>
      </c>
      <c r="CX80" s="3">
        <v>2.4</v>
      </c>
      <c r="CY80" s="3">
        <v>2.4500000000000002</v>
      </c>
      <c r="CZ80" s="3">
        <v>0.03</v>
      </c>
      <c r="DA80" s="3">
        <v>0.1</v>
      </c>
      <c r="DB80" s="3">
        <v>24.7</v>
      </c>
      <c r="DC80" s="3">
        <v>0.08</v>
      </c>
      <c r="DD80" s="3">
        <v>0.5</v>
      </c>
      <c r="DE80" s="3">
        <v>1.8</v>
      </c>
      <c r="DF80" s="3">
        <v>1.25</v>
      </c>
      <c r="DG80" s="3">
        <v>1.35</v>
      </c>
      <c r="DH80" s="3">
        <v>13.2</v>
      </c>
      <c r="DI80" s="3">
        <v>13.2</v>
      </c>
      <c r="DJ80" s="3">
        <v>1.71</v>
      </c>
      <c r="DK80" s="3">
        <v>0.04</v>
      </c>
      <c r="DL80" s="3">
        <v>0.76</v>
      </c>
      <c r="DM80" s="3">
        <v>0.67</v>
      </c>
      <c r="DN80" s="3">
        <v>0.66</v>
      </c>
      <c r="DO80" s="3">
        <v>20.3</v>
      </c>
      <c r="DP80" s="3">
        <v>23.05</v>
      </c>
      <c r="DQ80" s="3">
        <v>1.04</v>
      </c>
      <c r="DR80" s="3">
        <v>1.1499999999999999</v>
      </c>
      <c r="DS80" s="3">
        <v>1.1399999999999999</v>
      </c>
      <c r="DT80" s="3">
        <v>2.17</v>
      </c>
      <c r="DU80" s="3">
        <v>0.2</v>
      </c>
      <c r="DV80" s="3">
        <v>12.9</v>
      </c>
      <c r="DW80" s="3">
        <v>0.19</v>
      </c>
      <c r="DX80" s="3">
        <v>0.85</v>
      </c>
      <c r="DY80" s="3">
        <v>0.8</v>
      </c>
      <c r="DZ80" s="3">
        <v>0.54</v>
      </c>
      <c r="EA80" s="3">
        <v>2.35</v>
      </c>
      <c r="EB80" s="3">
        <v>2</v>
      </c>
      <c r="EC80" s="3">
        <v>2.0499999999999998</v>
      </c>
      <c r="ED80" s="3">
        <v>1</v>
      </c>
      <c r="EE80" s="3">
        <v>0.8</v>
      </c>
      <c r="EF80" s="3">
        <v>0.99</v>
      </c>
      <c r="EG80" s="3">
        <v>0.46</v>
      </c>
      <c r="EH80" s="3">
        <v>0.99</v>
      </c>
      <c r="EI80" s="3">
        <v>2</v>
      </c>
      <c r="EJ80" s="3">
        <v>2.58</v>
      </c>
      <c r="EK80" s="3">
        <v>6</v>
      </c>
      <c r="EL80" s="3">
        <v>1.86</v>
      </c>
      <c r="EM80" s="3">
        <v>0.56000000000000005</v>
      </c>
      <c r="EN80" s="3">
        <v>0.06</v>
      </c>
      <c r="EO80" s="3">
        <v>0.5</v>
      </c>
      <c r="EP80" s="3">
        <v>0.5</v>
      </c>
      <c r="EQ80" s="3">
        <v>2.25</v>
      </c>
      <c r="ER80" s="3">
        <v>3.75</v>
      </c>
      <c r="ES80" s="3">
        <v>3.95</v>
      </c>
      <c r="ET80" s="3">
        <v>0.61</v>
      </c>
      <c r="EU80" s="3">
        <v>2.25</v>
      </c>
      <c r="EV80" s="3">
        <v>0.42</v>
      </c>
      <c r="EW80" s="3">
        <v>0.62</v>
      </c>
      <c r="EX80" s="3">
        <v>0.63</v>
      </c>
      <c r="EY80" s="3">
        <v>3</v>
      </c>
      <c r="EZ80" s="3">
        <v>0.33</v>
      </c>
      <c r="FA80" s="3">
        <v>0.4</v>
      </c>
      <c r="FB80" s="3">
        <v>1.58</v>
      </c>
      <c r="FC80" s="3">
        <v>2.12</v>
      </c>
      <c r="FD80" s="3">
        <v>1.17</v>
      </c>
      <c r="FE80" s="3">
        <v>1.3</v>
      </c>
      <c r="FF80" s="3">
        <v>2.6</v>
      </c>
      <c r="FG80" s="3">
        <v>0.51</v>
      </c>
      <c r="FH80" s="3">
        <v>0.42</v>
      </c>
      <c r="FI80" s="3">
        <v>12.68</v>
      </c>
      <c r="FJ80" s="3">
        <v>11.96</v>
      </c>
      <c r="FK80" s="3">
        <v>8.25</v>
      </c>
      <c r="FL80" s="3">
        <v>15.81</v>
      </c>
      <c r="FM80" s="3">
        <v>0.41</v>
      </c>
      <c r="FN80" s="3">
        <v>0.6</v>
      </c>
      <c r="FO80" s="3">
        <v>1.58</v>
      </c>
      <c r="FP80" s="3">
        <v>1.54</v>
      </c>
      <c r="FQ80" s="3">
        <v>0.65</v>
      </c>
      <c r="FR80" s="3">
        <v>0.37</v>
      </c>
      <c r="FS80" s="3">
        <v>0.49</v>
      </c>
      <c r="FT80" s="3">
        <v>0.22</v>
      </c>
      <c r="FU80" s="3">
        <v>0.05</v>
      </c>
      <c r="FV80" s="3">
        <v>6.35</v>
      </c>
      <c r="FW80" s="3">
        <v>0.6</v>
      </c>
      <c r="FX80" s="3">
        <v>12.95</v>
      </c>
      <c r="FY80" s="3">
        <v>6.65</v>
      </c>
      <c r="FZ80" s="3">
        <v>0.09</v>
      </c>
      <c r="GA80" s="3">
        <v>0.49</v>
      </c>
      <c r="GB80" s="3">
        <v>0.84</v>
      </c>
      <c r="GC80" s="3">
        <v>0.76</v>
      </c>
      <c r="GD80" s="3">
        <v>0.25</v>
      </c>
      <c r="GE80" s="3">
        <v>0.3</v>
      </c>
      <c r="GF80" s="3">
        <v>0.43</v>
      </c>
      <c r="GG80" s="3">
        <v>0.55000000000000004</v>
      </c>
      <c r="GH80" s="3">
        <v>2.92</v>
      </c>
      <c r="GI80" s="3">
        <v>17.2</v>
      </c>
      <c r="GJ80" s="3">
        <v>17.2</v>
      </c>
      <c r="GK80" s="3">
        <v>16.8</v>
      </c>
      <c r="GL80" s="3">
        <v>15.75</v>
      </c>
      <c r="GM80" s="3">
        <v>0.85</v>
      </c>
      <c r="GN80" s="3">
        <v>1.29</v>
      </c>
      <c r="GO80" s="3">
        <v>1.22</v>
      </c>
      <c r="GP80" s="3">
        <v>1.04</v>
      </c>
      <c r="GQ80" s="3">
        <v>0.67</v>
      </c>
      <c r="GR80" s="3">
        <v>0.45</v>
      </c>
      <c r="GS80" s="3">
        <v>5.25</v>
      </c>
      <c r="GT80" s="3">
        <v>0.72</v>
      </c>
      <c r="GU80" s="3">
        <v>7.18</v>
      </c>
      <c r="GV80" s="3">
        <v>0.72</v>
      </c>
      <c r="GW80" s="3">
        <v>1.94</v>
      </c>
      <c r="GX80" s="3">
        <v>0.41</v>
      </c>
      <c r="GY80" s="3">
        <v>0.08</v>
      </c>
      <c r="GZ80" s="3">
        <v>1.04</v>
      </c>
      <c r="HA80" s="3">
        <v>8.9499999999999993</v>
      </c>
      <c r="HB80" s="3">
        <v>3</v>
      </c>
      <c r="HC80" s="3">
        <v>247.75</v>
      </c>
      <c r="HD80" s="3">
        <v>0.69</v>
      </c>
      <c r="HE80" s="3">
        <v>22</v>
      </c>
      <c r="HF80" s="3">
        <v>6</v>
      </c>
      <c r="HG80" s="3">
        <v>2.96</v>
      </c>
      <c r="HH80" s="3">
        <v>1.08</v>
      </c>
      <c r="HI80" s="3">
        <v>0.19</v>
      </c>
      <c r="HJ80" s="3">
        <v>0.12</v>
      </c>
      <c r="HK80" s="3">
        <v>0.9</v>
      </c>
      <c r="HL80" s="3">
        <v>0.18</v>
      </c>
      <c r="HM80" s="3">
        <v>5.15</v>
      </c>
      <c r="HN80" s="3">
        <v>0.49</v>
      </c>
      <c r="HO80" s="3">
        <v>2.15</v>
      </c>
      <c r="HP80" s="3">
        <v>1.0900000000000001</v>
      </c>
      <c r="HQ80" s="3">
        <v>17.100000000000001</v>
      </c>
      <c r="HR80" s="3">
        <v>49.15</v>
      </c>
      <c r="HS80" s="3">
        <v>2.19</v>
      </c>
      <c r="HT80" s="3">
        <v>1.55</v>
      </c>
      <c r="HU80" s="3">
        <v>52.8</v>
      </c>
      <c r="HV80" s="3">
        <v>0.32</v>
      </c>
      <c r="HW80" s="3">
        <v>1.34</v>
      </c>
      <c r="HX80" s="3">
        <v>1.05</v>
      </c>
      <c r="HY80" s="3">
        <v>57</v>
      </c>
      <c r="HZ80" s="3">
        <v>6.6</v>
      </c>
      <c r="IA80" s="3">
        <v>0.88</v>
      </c>
      <c r="IB80" s="3">
        <v>0.59</v>
      </c>
      <c r="IC80" s="3">
        <v>0.32</v>
      </c>
      <c r="ID80" s="3">
        <v>1.4</v>
      </c>
      <c r="IE80" s="3">
        <v>0.95</v>
      </c>
      <c r="IF80" s="3">
        <v>1.46</v>
      </c>
      <c r="IG80" s="3">
        <v>0.92</v>
      </c>
      <c r="IH80" s="3">
        <v>2.0299999999999998</v>
      </c>
      <c r="II80" s="3">
        <v>4.25</v>
      </c>
      <c r="IJ80" s="3">
        <v>1.3</v>
      </c>
      <c r="IK80" s="3">
        <v>2</v>
      </c>
      <c r="IL80" s="3">
        <v>0.72</v>
      </c>
      <c r="IM80" s="3">
        <v>0.13</v>
      </c>
      <c r="IN80" s="3">
        <v>1</v>
      </c>
      <c r="IO80" s="3">
        <v>1.66</v>
      </c>
      <c r="IP80" s="3">
        <v>0.1</v>
      </c>
      <c r="IQ80" s="3">
        <v>3.3</v>
      </c>
      <c r="IR80" s="3">
        <v>0.59</v>
      </c>
      <c r="IS80" s="3">
        <v>3.3</v>
      </c>
      <c r="IT80" s="3">
        <v>0.64</v>
      </c>
      <c r="IU80" s="3">
        <v>0.79</v>
      </c>
      <c r="IV80" s="3">
        <v>0.52</v>
      </c>
      <c r="IW80" s="3">
        <v>4.29</v>
      </c>
      <c r="IX80" s="3">
        <v>0.18</v>
      </c>
      <c r="IY80" s="3">
        <v>0.46</v>
      </c>
      <c r="IZ80" s="3">
        <v>0.56999999999999995</v>
      </c>
      <c r="JA80" s="3">
        <v>0.67</v>
      </c>
      <c r="JB80" s="3">
        <v>3.8</v>
      </c>
      <c r="JC80" s="3">
        <v>1.7</v>
      </c>
      <c r="JD80" s="3">
        <v>1.7</v>
      </c>
      <c r="JE80" s="3">
        <v>1.37</v>
      </c>
      <c r="JF80" s="3">
        <v>0.36</v>
      </c>
      <c r="JG80" s="3">
        <v>0.13</v>
      </c>
      <c r="JH80" s="3">
        <v>0.06</v>
      </c>
      <c r="JI80" s="3">
        <v>1.6</v>
      </c>
      <c r="JJ80" s="3">
        <v>0.7</v>
      </c>
      <c r="JK80" s="3">
        <v>0.77</v>
      </c>
      <c r="JL80" s="3">
        <v>0.85</v>
      </c>
      <c r="JM80" s="3">
        <v>3.98</v>
      </c>
      <c r="JN80" s="3">
        <v>2.52</v>
      </c>
      <c r="JO80" s="3">
        <v>0.72</v>
      </c>
      <c r="JP80" s="3">
        <v>1.28</v>
      </c>
      <c r="JQ80" s="3">
        <v>2.65</v>
      </c>
      <c r="JR80" s="3">
        <v>0.35</v>
      </c>
      <c r="JS80" s="3">
        <v>2.9</v>
      </c>
      <c r="JT80" s="3">
        <v>0.24</v>
      </c>
      <c r="JU80" s="3">
        <v>1.01</v>
      </c>
      <c r="JV80" s="3">
        <v>0.69</v>
      </c>
      <c r="JW80" s="3">
        <v>2.6</v>
      </c>
      <c r="JX80" s="3">
        <v>0.79</v>
      </c>
      <c r="JY80" s="3">
        <v>0.22</v>
      </c>
      <c r="JZ80" s="3">
        <v>0.47</v>
      </c>
      <c r="KA80" s="3">
        <v>1.5</v>
      </c>
      <c r="KB80" s="3">
        <v>0.74</v>
      </c>
      <c r="KC80" s="3">
        <v>0.24</v>
      </c>
      <c r="KD80" s="3">
        <v>1.41</v>
      </c>
      <c r="KE80" s="3">
        <v>2.59</v>
      </c>
      <c r="KF80" s="3">
        <v>0.65</v>
      </c>
      <c r="KG80" s="3">
        <v>0.4</v>
      </c>
      <c r="KH80" s="3">
        <v>2.59</v>
      </c>
      <c r="KI80" s="3">
        <v>0.4</v>
      </c>
      <c r="KJ80" s="3">
        <v>0.05</v>
      </c>
      <c r="KK80" s="3">
        <v>0.38</v>
      </c>
      <c r="KL80" s="3">
        <v>0.47</v>
      </c>
      <c r="KM80" s="3">
        <v>0.31</v>
      </c>
      <c r="KN80" s="3">
        <v>2</v>
      </c>
      <c r="KO80" s="3">
        <v>1.31</v>
      </c>
      <c r="KP80" s="3">
        <v>0.05</v>
      </c>
      <c r="KQ80" s="3">
        <v>0.01</v>
      </c>
      <c r="KR80" s="3">
        <v>0.38</v>
      </c>
      <c r="KS80" s="3">
        <v>0.62</v>
      </c>
      <c r="KT80" s="3">
        <v>64</v>
      </c>
      <c r="KU80" s="3">
        <v>0.19</v>
      </c>
      <c r="KV80" s="3">
        <v>1.55</v>
      </c>
      <c r="KW80" s="3">
        <v>0.54</v>
      </c>
      <c r="KX80" s="3">
        <v>0.67</v>
      </c>
      <c r="KY80" s="3">
        <v>0.44</v>
      </c>
      <c r="KZ80" s="3">
        <v>0.45</v>
      </c>
      <c r="LA80" s="3">
        <v>4.8899999999999997</v>
      </c>
      <c r="LB80" s="3">
        <v>2.14</v>
      </c>
      <c r="LC80" s="3">
        <v>4.6500000000000004</v>
      </c>
      <c r="LD80" s="3">
        <v>3.05</v>
      </c>
      <c r="LE80" s="3">
        <v>0.8</v>
      </c>
      <c r="LF80" s="3">
        <v>0.33</v>
      </c>
      <c r="LG80" s="3">
        <v>2.1</v>
      </c>
      <c r="LH80" s="3">
        <v>1.08</v>
      </c>
      <c r="LI80" s="3">
        <v>0.25</v>
      </c>
      <c r="LJ80" s="3">
        <v>2.62</v>
      </c>
      <c r="LK80" s="3">
        <v>2.5499999999999998</v>
      </c>
      <c r="LL80" s="3">
        <v>1.39</v>
      </c>
      <c r="LM80" s="3">
        <v>2.8</v>
      </c>
      <c r="LN80" s="3">
        <v>0.56000000000000005</v>
      </c>
      <c r="LO80" s="3">
        <v>2.31</v>
      </c>
      <c r="LP80" s="3">
        <v>1.89</v>
      </c>
      <c r="LQ80" s="3">
        <v>0.28999999999999998</v>
      </c>
      <c r="LR80" s="3">
        <v>1.69</v>
      </c>
      <c r="LS80" s="3">
        <v>0.4</v>
      </c>
      <c r="LT80" s="3">
        <v>2.4</v>
      </c>
      <c r="LU80" s="3">
        <v>0.92</v>
      </c>
      <c r="LV80" s="3">
        <v>3.25</v>
      </c>
      <c r="LW80" s="3">
        <v>2.11</v>
      </c>
      <c r="LX80" s="3">
        <v>1.17</v>
      </c>
      <c r="LY80" s="3">
        <v>0.17</v>
      </c>
      <c r="LZ80" s="3">
        <v>54.5</v>
      </c>
      <c r="MA80" s="3">
        <v>1.21</v>
      </c>
      <c r="MB80" s="3">
        <v>2.73</v>
      </c>
      <c r="MC80" s="3">
        <v>0.68</v>
      </c>
      <c r="MD80" s="3">
        <v>3.25</v>
      </c>
      <c r="ME80" s="3">
        <v>94.35</v>
      </c>
      <c r="MF80" s="3">
        <v>104.1</v>
      </c>
      <c r="MG80" s="3">
        <v>0.12</v>
      </c>
      <c r="MH80" s="3">
        <v>0.37</v>
      </c>
      <c r="MI80" s="3">
        <v>7.6</v>
      </c>
      <c r="MJ80" s="3">
        <v>1.26</v>
      </c>
      <c r="MK80" s="3">
        <v>1.27</v>
      </c>
      <c r="ML80" s="3">
        <v>0.92</v>
      </c>
      <c r="MM80" s="3">
        <v>6.2</v>
      </c>
      <c r="MN80" s="3">
        <v>1.48</v>
      </c>
      <c r="MO80" s="3">
        <v>4.6500000000000004</v>
      </c>
      <c r="MP80" s="3">
        <v>16.55</v>
      </c>
      <c r="MQ80" s="3">
        <v>2.73</v>
      </c>
      <c r="MR80" s="3">
        <v>0.6</v>
      </c>
      <c r="MS80" s="3">
        <v>4.0999999999999996</v>
      </c>
    </row>
    <row r="81" spans="1:357" x14ac:dyDescent="0.35">
      <c r="C81" t="s">
        <v>245</v>
      </c>
      <c r="E81" s="3">
        <v>0.65</v>
      </c>
      <c r="F81" s="3">
        <v>0.55000000000000004</v>
      </c>
      <c r="G81" s="3">
        <v>0.27</v>
      </c>
      <c r="H81" s="3">
        <v>0.27</v>
      </c>
      <c r="I81" s="3">
        <v>0.13</v>
      </c>
      <c r="J81" s="3">
        <v>1.46</v>
      </c>
      <c r="K81" s="3">
        <v>1.45</v>
      </c>
      <c r="L81" s="3">
        <v>6.5</v>
      </c>
      <c r="M81" s="3">
        <v>0.11</v>
      </c>
      <c r="N81" s="3">
        <v>6.48</v>
      </c>
      <c r="O81" s="3">
        <v>0.99</v>
      </c>
      <c r="P81" s="3">
        <v>0.51</v>
      </c>
      <c r="Q81" s="3">
        <v>5.55</v>
      </c>
      <c r="R81" s="3">
        <v>4.3</v>
      </c>
      <c r="S81" s="3">
        <v>2.5499999999999998</v>
      </c>
      <c r="T81" s="3">
        <v>3.28</v>
      </c>
      <c r="U81" s="3">
        <v>3.27</v>
      </c>
      <c r="V81" s="3">
        <v>2.5499999999999998</v>
      </c>
      <c r="W81" s="3">
        <v>0.32</v>
      </c>
      <c r="X81" s="3">
        <v>2.73</v>
      </c>
      <c r="Y81" s="3">
        <v>1.9</v>
      </c>
      <c r="Z81" s="3">
        <v>1.3</v>
      </c>
      <c r="AA81" s="3">
        <v>1.28</v>
      </c>
      <c r="AB81" s="3">
        <v>5.13</v>
      </c>
      <c r="AC81" s="3">
        <v>1.75</v>
      </c>
      <c r="AD81" s="3">
        <v>1.75</v>
      </c>
      <c r="AE81" s="3">
        <v>0.73</v>
      </c>
      <c r="AF81" s="3">
        <v>0.54</v>
      </c>
      <c r="AG81" s="3">
        <v>4.9000000000000004</v>
      </c>
      <c r="AH81" s="3">
        <v>7.5</v>
      </c>
      <c r="AI81" s="3">
        <v>2.46</v>
      </c>
      <c r="AJ81" s="3">
        <v>0.63</v>
      </c>
      <c r="AK81" s="3">
        <v>0.62</v>
      </c>
      <c r="AL81" s="3">
        <v>1.4</v>
      </c>
      <c r="AM81" s="3">
        <v>3.4</v>
      </c>
      <c r="AN81" s="3">
        <v>3.3</v>
      </c>
      <c r="AO81" s="3">
        <v>1.23</v>
      </c>
      <c r="AP81" s="3">
        <v>4</v>
      </c>
      <c r="AQ81" s="3">
        <v>1.35</v>
      </c>
      <c r="AR81" s="3">
        <v>1.04</v>
      </c>
      <c r="AS81" s="3">
        <v>0.95</v>
      </c>
      <c r="AT81" s="3">
        <v>1</v>
      </c>
      <c r="AU81" s="3">
        <v>1.49</v>
      </c>
      <c r="AV81" s="3">
        <v>2.95</v>
      </c>
      <c r="AW81" s="3">
        <v>3.03</v>
      </c>
      <c r="AX81" s="3">
        <v>5.3</v>
      </c>
      <c r="AY81" s="3">
        <v>5.24</v>
      </c>
      <c r="AZ81" s="3">
        <v>2.11</v>
      </c>
      <c r="BA81" s="3">
        <v>3.2</v>
      </c>
      <c r="BB81" s="3">
        <v>3.7</v>
      </c>
      <c r="BC81" s="3">
        <v>6.7</v>
      </c>
      <c r="BD81" s="3">
        <v>6.7</v>
      </c>
      <c r="BE81" s="3">
        <v>0.43</v>
      </c>
      <c r="BF81" s="3">
        <v>1.48</v>
      </c>
      <c r="BG81" s="3">
        <v>1.49</v>
      </c>
      <c r="BH81" s="3">
        <v>1.03</v>
      </c>
      <c r="BI81" s="3">
        <v>2.2999999999999998</v>
      </c>
      <c r="BJ81" s="3">
        <v>2.4500000000000002</v>
      </c>
      <c r="BK81" s="3">
        <v>2.6</v>
      </c>
      <c r="BL81" s="3">
        <v>2.2000000000000002</v>
      </c>
      <c r="BM81" s="3">
        <v>0.22</v>
      </c>
      <c r="BN81" s="3">
        <v>0.8</v>
      </c>
      <c r="BO81" s="3">
        <v>4.22</v>
      </c>
      <c r="BP81" s="3">
        <v>4.3</v>
      </c>
      <c r="BQ81" s="3">
        <v>4.05</v>
      </c>
      <c r="BR81" s="3">
        <v>6.45</v>
      </c>
      <c r="BS81" s="3">
        <v>6.4</v>
      </c>
      <c r="BT81" s="3">
        <v>0.63</v>
      </c>
      <c r="BU81" s="3">
        <v>2.94</v>
      </c>
      <c r="BV81" s="3">
        <v>1.55</v>
      </c>
      <c r="BW81" s="3">
        <v>1.62</v>
      </c>
      <c r="BX81" s="3">
        <v>0.46</v>
      </c>
      <c r="BY81" s="3">
        <v>0.6</v>
      </c>
      <c r="BZ81" s="3">
        <v>2.9</v>
      </c>
      <c r="CA81" s="3">
        <v>0.55000000000000004</v>
      </c>
      <c r="CB81" s="3">
        <v>0.55000000000000004</v>
      </c>
      <c r="CC81" s="3">
        <v>0.44</v>
      </c>
      <c r="CD81" s="3">
        <v>3.63</v>
      </c>
      <c r="CE81" s="3">
        <v>0.14000000000000001</v>
      </c>
      <c r="CF81" s="3">
        <v>1.2</v>
      </c>
      <c r="CG81" s="3">
        <v>5</v>
      </c>
      <c r="CH81" s="3">
        <v>5</v>
      </c>
      <c r="CI81" s="3">
        <v>3.6</v>
      </c>
      <c r="CJ81" s="3">
        <v>7.75</v>
      </c>
      <c r="CK81" s="3">
        <v>8.6</v>
      </c>
      <c r="CL81" s="3">
        <v>0.76</v>
      </c>
      <c r="CM81" s="3">
        <v>0.76</v>
      </c>
      <c r="CN81" s="3">
        <v>1.77</v>
      </c>
      <c r="CO81" s="3">
        <v>8.3000000000000007</v>
      </c>
      <c r="CP81" s="3">
        <v>8.3000000000000007</v>
      </c>
      <c r="CQ81" s="3">
        <v>1.37</v>
      </c>
      <c r="CR81" s="3">
        <v>1.37</v>
      </c>
      <c r="CS81" s="3">
        <v>3.2</v>
      </c>
      <c r="CT81" s="3">
        <v>3.9</v>
      </c>
      <c r="CU81" s="3">
        <v>2.06</v>
      </c>
      <c r="CV81" s="3">
        <v>3.1</v>
      </c>
      <c r="CW81" s="3">
        <v>3.04</v>
      </c>
      <c r="CX81" s="3">
        <v>3</v>
      </c>
      <c r="CY81" s="3">
        <v>3</v>
      </c>
      <c r="CZ81" s="3">
        <v>0.55000000000000004</v>
      </c>
      <c r="DA81" s="3">
        <v>0.19</v>
      </c>
      <c r="DB81" s="3">
        <v>25.5</v>
      </c>
      <c r="DC81" s="3">
        <v>0.33</v>
      </c>
      <c r="DD81" s="3">
        <v>0.54</v>
      </c>
      <c r="DE81" s="3">
        <v>1.98</v>
      </c>
      <c r="DF81" s="3">
        <v>1.87</v>
      </c>
      <c r="DG81" s="3">
        <v>1.85</v>
      </c>
      <c r="DH81" s="3">
        <v>16.2</v>
      </c>
      <c r="DI81" s="3">
        <v>16.2</v>
      </c>
      <c r="DJ81" s="3">
        <v>1.77</v>
      </c>
      <c r="DK81" s="3">
        <v>0.59</v>
      </c>
      <c r="DL81" s="3">
        <v>1.65</v>
      </c>
      <c r="DM81" s="3">
        <v>1.17</v>
      </c>
      <c r="DN81" s="3">
        <v>0.92</v>
      </c>
      <c r="DO81" s="3">
        <v>21.9</v>
      </c>
      <c r="DP81" s="3">
        <v>23.85</v>
      </c>
      <c r="DQ81" s="3">
        <v>1.06</v>
      </c>
      <c r="DR81" s="3">
        <v>1.25</v>
      </c>
      <c r="DS81" s="3">
        <v>1.31</v>
      </c>
      <c r="DT81" s="3">
        <v>2.29</v>
      </c>
      <c r="DU81" s="3">
        <v>0.56999999999999995</v>
      </c>
      <c r="DV81" s="3">
        <f>(12.6+13.5)/2</f>
        <v>13.05</v>
      </c>
      <c r="DW81" s="3">
        <v>0.57999999999999996</v>
      </c>
      <c r="DX81" s="3">
        <v>0.95</v>
      </c>
      <c r="DY81" s="3">
        <v>0.9</v>
      </c>
      <c r="DZ81" s="3">
        <v>0.7</v>
      </c>
      <c r="EA81" s="3">
        <v>2.4500000000000002</v>
      </c>
      <c r="EB81" s="3">
        <v>2.4</v>
      </c>
      <c r="EC81" s="3">
        <v>2.6</v>
      </c>
      <c r="ED81" s="3">
        <v>2</v>
      </c>
      <c r="EE81" s="3">
        <v>1.85</v>
      </c>
      <c r="EF81" s="3">
        <v>1.1200000000000001</v>
      </c>
      <c r="EG81" s="3">
        <v>0.61</v>
      </c>
      <c r="EH81" s="3">
        <v>1.1200000000000001</v>
      </c>
      <c r="EI81" s="3">
        <v>2.0099999999999998</v>
      </c>
      <c r="EJ81" s="3">
        <v>2.63</v>
      </c>
      <c r="EK81" s="3">
        <v>6.2</v>
      </c>
      <c r="EL81" s="3">
        <v>1.86</v>
      </c>
      <c r="EM81" s="3">
        <v>0.74</v>
      </c>
      <c r="EN81" s="3">
        <v>0.38</v>
      </c>
      <c r="EO81" s="3">
        <v>0.77</v>
      </c>
      <c r="EP81" s="3">
        <v>0.8</v>
      </c>
      <c r="EQ81" s="3">
        <v>2.87</v>
      </c>
      <c r="ER81" s="3">
        <v>4.2</v>
      </c>
      <c r="ES81" s="3">
        <v>4.3499999999999996</v>
      </c>
      <c r="ET81" s="3">
        <v>0.91</v>
      </c>
      <c r="EU81" s="3">
        <v>2.75</v>
      </c>
      <c r="EV81" s="3">
        <v>0.78</v>
      </c>
      <c r="EW81" s="3">
        <v>0.82</v>
      </c>
      <c r="EX81" s="3">
        <v>0.82</v>
      </c>
      <c r="EY81" s="3">
        <v>3.2</v>
      </c>
      <c r="EZ81" s="3">
        <v>0.84</v>
      </c>
      <c r="FA81" s="3">
        <v>0.62</v>
      </c>
      <c r="FB81" s="3">
        <v>2.0299999999999998</v>
      </c>
      <c r="FC81" s="3">
        <v>2.2999999999999998</v>
      </c>
      <c r="FD81" s="3">
        <v>2.65</v>
      </c>
      <c r="FE81" s="3">
        <v>3.2</v>
      </c>
      <c r="FF81" s="3">
        <v>2.72</v>
      </c>
      <c r="FG81" s="3">
        <v>0.94</v>
      </c>
      <c r="FH81" s="3">
        <v>0.44</v>
      </c>
      <c r="FI81" s="3">
        <v>18</v>
      </c>
      <c r="FJ81" s="3">
        <v>15.5</v>
      </c>
      <c r="FK81" s="3">
        <v>9.1</v>
      </c>
      <c r="FL81" s="3">
        <v>16.7</v>
      </c>
      <c r="FM81" s="3">
        <v>0.92</v>
      </c>
      <c r="FN81" s="3">
        <v>1.1499999999999999</v>
      </c>
      <c r="FO81" s="3">
        <v>2.5499999999999998</v>
      </c>
      <c r="FP81" s="3">
        <v>1.91</v>
      </c>
      <c r="FQ81" s="3">
        <v>0.85</v>
      </c>
      <c r="FR81" s="3">
        <v>0.48</v>
      </c>
      <c r="FS81" s="3">
        <v>0.63</v>
      </c>
      <c r="FT81" s="3">
        <v>0.24</v>
      </c>
      <c r="FU81" s="3">
        <v>0.15</v>
      </c>
      <c r="FV81" s="3">
        <v>6.25</v>
      </c>
      <c r="FW81" s="3">
        <v>0.93</v>
      </c>
      <c r="FX81" s="3">
        <v>13.03</v>
      </c>
      <c r="FY81" s="3">
        <v>7.25</v>
      </c>
      <c r="FZ81" s="3">
        <v>0.25</v>
      </c>
      <c r="GA81" s="3">
        <v>0.96</v>
      </c>
      <c r="GB81" s="3">
        <v>1.29</v>
      </c>
      <c r="GC81" s="3">
        <v>0.78</v>
      </c>
      <c r="GD81" s="3">
        <v>0.34</v>
      </c>
      <c r="GE81" s="3">
        <v>0.4</v>
      </c>
      <c r="GF81" s="3">
        <v>0.55000000000000004</v>
      </c>
      <c r="GG81" s="3">
        <v>0.62</v>
      </c>
      <c r="GH81" s="3">
        <v>2.97</v>
      </c>
      <c r="GI81" s="3">
        <v>17.95</v>
      </c>
      <c r="GJ81" s="3">
        <v>17.95</v>
      </c>
      <c r="GK81" s="3">
        <v>17.7</v>
      </c>
      <c r="GL81" s="3">
        <v>17.7</v>
      </c>
      <c r="GM81" s="3">
        <v>1.1000000000000001</v>
      </c>
      <c r="GN81" s="3">
        <v>1.54</v>
      </c>
      <c r="GO81" s="3">
        <v>1.57</v>
      </c>
      <c r="GP81" s="3">
        <v>1.1399999999999999</v>
      </c>
      <c r="GQ81" s="3">
        <v>0.7</v>
      </c>
      <c r="GR81" s="3">
        <v>0.6</v>
      </c>
      <c r="GS81" s="3">
        <v>5.75</v>
      </c>
      <c r="GT81" s="3">
        <v>0.75</v>
      </c>
      <c r="GU81" s="3">
        <v>8.02</v>
      </c>
      <c r="GV81" s="3">
        <v>0.77</v>
      </c>
      <c r="GW81" s="3">
        <v>2.16</v>
      </c>
      <c r="GX81" s="3">
        <v>0.59</v>
      </c>
      <c r="GY81" s="3">
        <v>0.14000000000000001</v>
      </c>
      <c r="GZ81" s="3">
        <v>1.19</v>
      </c>
      <c r="HA81" s="3">
        <v>9.1</v>
      </c>
      <c r="HB81" s="3">
        <v>3.02</v>
      </c>
      <c r="HC81" s="3">
        <v>250.5</v>
      </c>
      <c r="HD81" s="3">
        <v>0.77</v>
      </c>
      <c r="HE81" s="3">
        <v>28.75</v>
      </c>
      <c r="HF81" s="3">
        <v>6.54</v>
      </c>
      <c r="HG81" s="3">
        <v>4</v>
      </c>
      <c r="HH81" s="3">
        <v>1.4</v>
      </c>
      <c r="HI81" s="3">
        <v>0.5</v>
      </c>
      <c r="HJ81" s="3">
        <v>0.34</v>
      </c>
      <c r="HK81" s="3">
        <v>1.02</v>
      </c>
      <c r="HL81" s="3">
        <v>0.98</v>
      </c>
      <c r="HM81" s="3">
        <v>5.25</v>
      </c>
      <c r="HN81" s="3">
        <v>1.29</v>
      </c>
      <c r="HO81" s="3">
        <v>2.5</v>
      </c>
      <c r="HP81" s="3">
        <v>1.1499999999999999</v>
      </c>
      <c r="HQ81" s="3">
        <v>17.190000000000001</v>
      </c>
      <c r="HR81" s="3">
        <v>49.25</v>
      </c>
      <c r="HS81" s="3">
        <v>2.4</v>
      </c>
      <c r="HT81" s="3">
        <v>2.0499999999999998</v>
      </c>
      <c r="HU81" s="3">
        <v>53.5</v>
      </c>
      <c r="HV81" s="3">
        <v>0.71</v>
      </c>
      <c r="HW81" s="3">
        <v>1.48</v>
      </c>
      <c r="HX81" s="3">
        <v>1.1499999999999999</v>
      </c>
      <c r="HY81" s="3">
        <v>58.9</v>
      </c>
      <c r="HZ81" s="3">
        <v>6.75</v>
      </c>
      <c r="IA81" s="3">
        <v>1.05</v>
      </c>
      <c r="IB81" s="3">
        <v>0.69</v>
      </c>
      <c r="IC81" s="3">
        <v>0.55000000000000004</v>
      </c>
      <c r="ID81" s="3">
        <v>1.43</v>
      </c>
      <c r="IE81" s="3">
        <v>1.35</v>
      </c>
      <c r="IF81" s="3">
        <v>1.55</v>
      </c>
      <c r="IG81" s="3">
        <v>1</v>
      </c>
      <c r="IH81" s="3">
        <v>2.29</v>
      </c>
      <c r="II81" s="3">
        <v>4.25</v>
      </c>
      <c r="IJ81" s="3">
        <v>1.8</v>
      </c>
      <c r="IK81" s="3">
        <v>2.15</v>
      </c>
      <c r="IL81" s="3">
        <v>0.86</v>
      </c>
      <c r="IM81" s="3">
        <v>0.38</v>
      </c>
      <c r="IN81" s="3">
        <v>1.22</v>
      </c>
      <c r="IO81" s="3">
        <v>1.8</v>
      </c>
      <c r="IP81" s="3">
        <v>0.41</v>
      </c>
      <c r="IQ81" s="3">
        <v>3.8</v>
      </c>
      <c r="IR81" s="3">
        <v>0.8</v>
      </c>
      <c r="IS81" s="3">
        <v>3.35</v>
      </c>
      <c r="IT81" s="3">
        <v>0.71</v>
      </c>
      <c r="IU81" s="3">
        <v>0.59</v>
      </c>
      <c r="IV81" s="3">
        <v>0.59</v>
      </c>
      <c r="IW81" s="3">
        <v>4.5</v>
      </c>
      <c r="IX81" s="3">
        <v>0.68</v>
      </c>
      <c r="IY81" s="3">
        <v>0.56000000000000005</v>
      </c>
      <c r="IZ81" s="3">
        <v>1.05</v>
      </c>
      <c r="JA81" s="3">
        <v>1.05</v>
      </c>
      <c r="JB81" s="3">
        <v>4.16</v>
      </c>
      <c r="JC81" s="3">
        <v>1.74</v>
      </c>
      <c r="JD81" s="3">
        <v>1.74</v>
      </c>
      <c r="JE81" s="3">
        <v>1.58</v>
      </c>
      <c r="JF81" s="3">
        <v>0.62</v>
      </c>
      <c r="JG81" s="3">
        <v>0.15</v>
      </c>
      <c r="JH81" s="3">
        <v>7.0000000000000007E-2</v>
      </c>
      <c r="JI81" s="3">
        <v>1.82</v>
      </c>
      <c r="JJ81" s="3">
        <v>0.82</v>
      </c>
      <c r="JK81" s="3">
        <v>0.84</v>
      </c>
      <c r="JL81" s="3">
        <v>1</v>
      </c>
      <c r="JM81" s="3">
        <v>4.1500000000000004</v>
      </c>
      <c r="JN81" s="3">
        <v>3.25</v>
      </c>
      <c r="JO81" s="3">
        <v>0.92</v>
      </c>
      <c r="JP81" s="3">
        <v>1.48</v>
      </c>
      <c r="JQ81" s="3">
        <v>2.92</v>
      </c>
      <c r="JR81" s="3">
        <v>0.7</v>
      </c>
      <c r="JS81" s="3">
        <v>3.15</v>
      </c>
      <c r="JT81" s="3">
        <v>0.4</v>
      </c>
      <c r="JU81" s="3">
        <v>1.1599999999999999</v>
      </c>
      <c r="JV81" s="3">
        <v>0.85</v>
      </c>
      <c r="JW81" s="3">
        <v>2.75</v>
      </c>
      <c r="JX81" s="3">
        <v>0.87</v>
      </c>
      <c r="JY81" s="3">
        <v>0.15</v>
      </c>
      <c r="JZ81" s="3">
        <v>0.61</v>
      </c>
      <c r="KA81" s="3">
        <v>1.7</v>
      </c>
      <c r="KB81" s="3">
        <v>0.87</v>
      </c>
      <c r="KC81" s="3">
        <v>0.32</v>
      </c>
      <c r="KD81" s="3">
        <v>1.45</v>
      </c>
      <c r="KE81" s="3">
        <v>2.88</v>
      </c>
      <c r="KF81" s="3">
        <v>0.7</v>
      </c>
      <c r="KG81" s="3">
        <v>6.8</v>
      </c>
      <c r="KH81" s="3">
        <v>2.88</v>
      </c>
      <c r="KI81" s="3">
        <v>0.55000000000000004</v>
      </c>
      <c r="KJ81" s="3">
        <v>0.11</v>
      </c>
      <c r="KK81" s="3">
        <v>0.85</v>
      </c>
      <c r="KL81" s="3">
        <v>1.42</v>
      </c>
      <c r="KM81" s="3">
        <v>0.52</v>
      </c>
      <c r="KN81" s="3">
        <v>6.85</v>
      </c>
      <c r="KO81" s="3">
        <v>1.76</v>
      </c>
      <c r="KP81" s="3">
        <v>1.9</v>
      </c>
      <c r="KQ81" s="3">
        <v>0.17</v>
      </c>
      <c r="KR81" s="3">
        <v>0.64</v>
      </c>
      <c r="KS81" s="3">
        <v>0.72</v>
      </c>
      <c r="KT81" s="3">
        <v>70.5</v>
      </c>
      <c r="KU81" s="3">
        <v>0.39</v>
      </c>
      <c r="KV81" s="3">
        <v>1.59</v>
      </c>
      <c r="KW81" s="3">
        <v>0.56999999999999995</v>
      </c>
      <c r="KX81" s="3">
        <v>0.87</v>
      </c>
      <c r="KY81" s="3">
        <v>0.7</v>
      </c>
      <c r="KZ81" s="3">
        <v>0.74</v>
      </c>
      <c r="LA81" s="3">
        <v>6.25</v>
      </c>
      <c r="LB81" s="3">
        <v>2.44</v>
      </c>
      <c r="LC81" s="3">
        <v>5.85</v>
      </c>
      <c r="LD81" s="3">
        <v>3.08</v>
      </c>
      <c r="LE81" s="3">
        <v>0.85</v>
      </c>
      <c r="LF81" s="3">
        <v>0.45</v>
      </c>
      <c r="LG81" s="3">
        <v>2.2000000000000002</v>
      </c>
      <c r="LH81" s="3">
        <v>1.1499999999999999</v>
      </c>
      <c r="LI81" s="3">
        <v>0.33</v>
      </c>
      <c r="LJ81" s="3">
        <v>3.45</v>
      </c>
      <c r="LK81" s="3">
        <v>3.4</v>
      </c>
      <c r="LL81" s="3">
        <v>1.45</v>
      </c>
      <c r="LM81" s="3">
        <v>2.85</v>
      </c>
      <c r="LN81" s="3">
        <v>0.74</v>
      </c>
      <c r="LO81" s="3">
        <v>2.5299999999999998</v>
      </c>
      <c r="LP81" s="3">
        <v>2.2400000000000002</v>
      </c>
      <c r="LQ81" s="3">
        <v>0.33</v>
      </c>
      <c r="LR81" s="3">
        <v>1.8</v>
      </c>
      <c r="LS81" s="3">
        <v>0.45</v>
      </c>
      <c r="LT81" s="3">
        <v>2.81</v>
      </c>
      <c r="LU81" s="3">
        <v>1.2</v>
      </c>
      <c r="LV81" s="3">
        <v>3.3</v>
      </c>
      <c r="LW81" s="3">
        <v>2.15</v>
      </c>
      <c r="LX81" s="3">
        <v>1.43</v>
      </c>
      <c r="LY81" s="3">
        <v>0.44</v>
      </c>
      <c r="LZ81" s="3">
        <v>62.1</v>
      </c>
      <c r="MA81" s="3">
        <v>1.33</v>
      </c>
      <c r="MB81" s="3">
        <v>3.12</v>
      </c>
      <c r="MC81" s="3">
        <v>1</v>
      </c>
      <c r="MD81" s="3">
        <v>3.3</v>
      </c>
      <c r="ME81" s="3">
        <v>97</v>
      </c>
      <c r="MF81" s="3">
        <v>112.1</v>
      </c>
      <c r="MG81" s="3">
        <v>0.28000000000000003</v>
      </c>
      <c r="MH81" s="3">
        <v>0.41</v>
      </c>
      <c r="MI81" s="3">
        <v>7.7</v>
      </c>
      <c r="MJ81" s="3">
        <v>1.44</v>
      </c>
      <c r="MK81" s="3">
        <v>1.3</v>
      </c>
      <c r="ML81" s="3">
        <v>1.1299999999999999</v>
      </c>
      <c r="MM81" s="3">
        <v>5.95</v>
      </c>
      <c r="MN81" s="3">
        <v>1.83</v>
      </c>
      <c r="MO81" s="3">
        <v>5.2</v>
      </c>
      <c r="MP81" s="3">
        <v>17.2</v>
      </c>
      <c r="MQ81" s="3">
        <v>3.03</v>
      </c>
      <c r="MR81" s="3">
        <v>0.94</v>
      </c>
      <c r="MS81" s="3">
        <v>4.58</v>
      </c>
    </row>
    <row r="82" spans="1:357" x14ac:dyDescent="0.35">
      <c r="C82" t="s">
        <v>246</v>
      </c>
      <c r="E82" s="280">
        <v>3</v>
      </c>
      <c r="F82" s="280">
        <v>5</v>
      </c>
      <c r="G82" s="278">
        <v>3</v>
      </c>
      <c r="H82" s="278">
        <v>5</v>
      </c>
      <c r="I82" s="278">
        <v>4</v>
      </c>
      <c r="J82" s="277">
        <v>1</v>
      </c>
      <c r="K82" s="277">
        <v>1</v>
      </c>
      <c r="L82" s="277">
        <v>7</v>
      </c>
      <c r="M82" s="276">
        <v>5</v>
      </c>
      <c r="N82" s="277">
        <v>5</v>
      </c>
      <c r="O82" s="276">
        <v>2</v>
      </c>
      <c r="P82" s="276">
        <v>2</v>
      </c>
      <c r="Q82" s="276">
        <v>1</v>
      </c>
      <c r="R82" s="276">
        <v>1</v>
      </c>
      <c r="S82" s="274">
        <v>2</v>
      </c>
      <c r="T82" s="274">
        <v>2</v>
      </c>
      <c r="U82" s="274">
        <v>3</v>
      </c>
      <c r="V82" s="274">
        <v>2</v>
      </c>
      <c r="W82" s="273">
        <v>2</v>
      </c>
      <c r="X82" s="272">
        <v>1</v>
      </c>
      <c r="Y82" s="272">
        <v>2</v>
      </c>
      <c r="Z82" s="271">
        <v>5</v>
      </c>
      <c r="AA82" s="271">
        <v>3</v>
      </c>
      <c r="AB82" s="270">
        <v>1</v>
      </c>
      <c r="AC82" s="270">
        <v>5</v>
      </c>
      <c r="AD82" s="270">
        <v>4</v>
      </c>
      <c r="AE82" s="269">
        <v>3</v>
      </c>
      <c r="AF82" s="269">
        <v>5</v>
      </c>
      <c r="AG82" s="268">
        <v>1</v>
      </c>
      <c r="AH82" s="268">
        <v>1</v>
      </c>
      <c r="AI82" s="267">
        <v>1</v>
      </c>
      <c r="AJ82" s="266">
        <v>5</v>
      </c>
      <c r="AK82" s="266">
        <v>4</v>
      </c>
      <c r="AL82" s="264">
        <v>1</v>
      </c>
      <c r="AM82" s="264">
        <v>4</v>
      </c>
      <c r="AN82" s="264">
        <v>4</v>
      </c>
      <c r="AO82" s="264">
        <v>4</v>
      </c>
      <c r="AP82" s="264">
        <v>1</v>
      </c>
      <c r="AQ82" s="264">
        <v>2</v>
      </c>
      <c r="AR82" s="263">
        <v>1</v>
      </c>
      <c r="AS82" s="263">
        <v>1</v>
      </c>
      <c r="AT82" s="263">
        <v>2</v>
      </c>
      <c r="AU82" s="263">
        <v>4</v>
      </c>
      <c r="AV82" s="263">
        <v>1</v>
      </c>
      <c r="AW82" s="263">
        <v>1</v>
      </c>
      <c r="AX82" s="263">
        <v>1</v>
      </c>
      <c r="AY82" s="263">
        <v>1</v>
      </c>
      <c r="AZ82" s="263">
        <v>4</v>
      </c>
      <c r="BA82" s="261">
        <v>1</v>
      </c>
      <c r="BB82" s="261">
        <v>1</v>
      </c>
      <c r="BC82" s="261">
        <v>7</v>
      </c>
      <c r="BD82" s="261">
        <v>5</v>
      </c>
      <c r="BE82" s="261">
        <v>5</v>
      </c>
      <c r="BF82" s="260">
        <v>5</v>
      </c>
      <c r="BG82" s="260">
        <v>6</v>
      </c>
      <c r="BH82" s="259">
        <v>5</v>
      </c>
      <c r="BI82" s="259">
        <v>1</v>
      </c>
      <c r="BJ82" s="259">
        <v>1</v>
      </c>
      <c r="BK82" s="259">
        <v>2</v>
      </c>
      <c r="BL82" s="259">
        <v>2</v>
      </c>
      <c r="BM82" s="259">
        <v>5</v>
      </c>
      <c r="BN82" s="259">
        <v>5</v>
      </c>
      <c r="BO82" s="259">
        <v>1</v>
      </c>
      <c r="BP82" s="259">
        <v>1</v>
      </c>
      <c r="BQ82" s="259">
        <v>1</v>
      </c>
      <c r="BR82" s="259">
        <v>5</v>
      </c>
      <c r="BS82" s="259">
        <v>5</v>
      </c>
      <c r="BT82" s="256">
        <v>2</v>
      </c>
      <c r="BU82" s="256">
        <v>5</v>
      </c>
      <c r="BV82" s="256">
        <v>4</v>
      </c>
      <c r="BW82" s="256">
        <v>2</v>
      </c>
      <c r="BX82" s="256">
        <v>2</v>
      </c>
      <c r="BY82" s="256">
        <v>4</v>
      </c>
      <c r="BZ82" s="256">
        <v>5</v>
      </c>
      <c r="CA82" s="256">
        <v>1</v>
      </c>
      <c r="CB82" s="256">
        <v>1</v>
      </c>
      <c r="CC82" s="256">
        <v>3</v>
      </c>
      <c r="CD82" s="256">
        <v>10</v>
      </c>
      <c r="CE82" s="251">
        <v>5</v>
      </c>
      <c r="CF82" s="249">
        <v>1</v>
      </c>
      <c r="CG82" s="249">
        <v>5</v>
      </c>
      <c r="CH82" s="249">
        <v>5</v>
      </c>
      <c r="CI82" s="246">
        <v>2</v>
      </c>
      <c r="CJ82" s="244">
        <v>2</v>
      </c>
      <c r="CK82" s="244">
        <v>2</v>
      </c>
      <c r="CL82" s="241">
        <v>5</v>
      </c>
      <c r="CM82" s="241">
        <v>3</v>
      </c>
      <c r="CN82" s="241">
        <v>1</v>
      </c>
      <c r="CO82" s="241">
        <v>1</v>
      </c>
      <c r="CP82" s="241">
        <v>1</v>
      </c>
      <c r="CQ82" s="241">
        <v>2</v>
      </c>
      <c r="CR82" s="241">
        <v>2</v>
      </c>
      <c r="CS82" s="241">
        <v>1</v>
      </c>
      <c r="CT82" s="241">
        <v>1</v>
      </c>
      <c r="CU82" s="241">
        <v>2</v>
      </c>
      <c r="CV82" s="241">
        <v>1</v>
      </c>
      <c r="CW82" s="241">
        <v>1</v>
      </c>
      <c r="CX82" s="241">
        <v>5</v>
      </c>
      <c r="CY82" s="240">
        <v>5</v>
      </c>
      <c r="CZ82" s="239">
        <v>10</v>
      </c>
      <c r="DA82" s="238">
        <v>5</v>
      </c>
      <c r="DB82" s="237">
        <v>4</v>
      </c>
      <c r="DC82" s="237">
        <v>10</v>
      </c>
      <c r="DD82" s="235">
        <v>5</v>
      </c>
      <c r="DE82" s="234">
        <v>10</v>
      </c>
      <c r="DF82" s="234">
        <v>1</v>
      </c>
      <c r="DG82" s="234">
        <v>1</v>
      </c>
      <c r="DH82" s="234">
        <v>2</v>
      </c>
      <c r="DI82" s="234">
        <v>2</v>
      </c>
      <c r="DJ82" s="233">
        <v>10</v>
      </c>
      <c r="DK82" s="232">
        <v>1</v>
      </c>
      <c r="DL82" s="231">
        <v>1</v>
      </c>
      <c r="DM82" s="231">
        <v>1</v>
      </c>
      <c r="DN82" s="230">
        <v>2</v>
      </c>
      <c r="DO82" s="228">
        <v>4</v>
      </c>
      <c r="DP82" s="229">
        <v>4</v>
      </c>
      <c r="DQ82" s="229">
        <v>10</v>
      </c>
      <c r="DR82" s="227">
        <v>2</v>
      </c>
      <c r="DS82" s="227">
        <v>2</v>
      </c>
      <c r="DT82" s="227">
        <v>2</v>
      </c>
      <c r="DU82" s="227">
        <v>2</v>
      </c>
      <c r="DV82" s="228">
        <v>2</v>
      </c>
      <c r="DW82" s="227">
        <v>2</v>
      </c>
      <c r="DX82" s="227">
        <v>5</v>
      </c>
      <c r="DY82" s="227">
        <v>5</v>
      </c>
      <c r="DZ82" s="226">
        <v>6</v>
      </c>
      <c r="EA82" s="223">
        <v>2</v>
      </c>
      <c r="EB82" s="220">
        <v>1</v>
      </c>
      <c r="EC82" s="220">
        <v>2</v>
      </c>
      <c r="ED82" s="220">
        <v>2</v>
      </c>
      <c r="EE82" s="220">
        <v>2</v>
      </c>
      <c r="EF82" s="220">
        <v>2</v>
      </c>
      <c r="EG82" s="220">
        <v>10</v>
      </c>
      <c r="EH82" s="220">
        <v>2</v>
      </c>
      <c r="EI82" s="220">
        <v>2</v>
      </c>
      <c r="EJ82" s="222">
        <v>5</v>
      </c>
      <c r="EK82" s="216">
        <v>1</v>
      </c>
      <c r="EL82" s="216">
        <v>2</v>
      </c>
      <c r="EM82" s="216">
        <v>1</v>
      </c>
      <c r="EN82" s="212">
        <v>45</v>
      </c>
      <c r="EO82" s="214">
        <v>1</v>
      </c>
      <c r="EP82" s="214">
        <v>1</v>
      </c>
      <c r="EQ82" s="214">
        <v>1</v>
      </c>
      <c r="ER82" s="214">
        <v>1</v>
      </c>
      <c r="ES82" s="214">
        <v>1</v>
      </c>
      <c r="ET82" s="214">
        <v>3</v>
      </c>
      <c r="EU82" s="213">
        <v>1</v>
      </c>
      <c r="EV82" s="212">
        <v>5</v>
      </c>
      <c r="EW82" s="211">
        <v>2</v>
      </c>
      <c r="EX82" s="211">
        <v>4</v>
      </c>
      <c r="EY82" s="211">
        <v>4</v>
      </c>
      <c r="EZ82" s="210">
        <v>2</v>
      </c>
      <c r="FA82" s="210">
        <v>5</v>
      </c>
      <c r="FB82" s="209">
        <v>5</v>
      </c>
      <c r="FC82" s="209">
        <v>2</v>
      </c>
      <c r="FD82" s="209">
        <v>1</v>
      </c>
      <c r="FE82" s="209">
        <v>1</v>
      </c>
      <c r="FF82" s="209">
        <v>7</v>
      </c>
      <c r="FG82" s="208">
        <v>5</v>
      </c>
      <c r="FH82" s="208">
        <v>6</v>
      </c>
      <c r="FI82" s="208">
        <v>1</v>
      </c>
      <c r="FJ82" s="208">
        <v>1</v>
      </c>
      <c r="FK82" s="208">
        <v>2</v>
      </c>
      <c r="FL82" s="208">
        <v>4</v>
      </c>
      <c r="FM82" s="208">
        <v>2</v>
      </c>
      <c r="FN82" s="208">
        <v>5</v>
      </c>
      <c r="FO82" s="208">
        <v>2</v>
      </c>
      <c r="FP82" s="208">
        <v>2</v>
      </c>
      <c r="FQ82" s="208">
        <v>5</v>
      </c>
      <c r="FR82" s="206">
        <v>5</v>
      </c>
      <c r="FS82" s="206">
        <v>6</v>
      </c>
      <c r="FT82" s="205">
        <v>3</v>
      </c>
      <c r="FU82" s="205">
        <v>5</v>
      </c>
      <c r="FV82" s="205">
        <v>1</v>
      </c>
      <c r="FW82" s="205">
        <v>2</v>
      </c>
      <c r="FX82" s="205">
        <v>4</v>
      </c>
      <c r="FY82" s="203">
        <v>2</v>
      </c>
      <c r="FZ82" s="203">
        <v>5</v>
      </c>
      <c r="GA82" s="203">
        <v>10</v>
      </c>
      <c r="GB82" s="203">
        <v>7</v>
      </c>
      <c r="GC82" s="203">
        <v>5</v>
      </c>
      <c r="GD82" s="202">
        <v>4</v>
      </c>
      <c r="GE82" s="200">
        <v>5</v>
      </c>
      <c r="GF82" s="198">
        <v>5</v>
      </c>
      <c r="GG82" s="198">
        <v>2</v>
      </c>
      <c r="GH82" s="198">
        <v>5</v>
      </c>
      <c r="GI82" s="198">
        <v>5</v>
      </c>
      <c r="GJ82" s="198">
        <v>5</v>
      </c>
      <c r="GK82" s="198">
        <v>5</v>
      </c>
      <c r="GL82" s="198">
        <v>3</v>
      </c>
      <c r="GM82" s="197">
        <v>5</v>
      </c>
      <c r="GN82" s="197">
        <v>7</v>
      </c>
      <c r="GO82" s="197">
        <v>3</v>
      </c>
      <c r="GP82" s="197">
        <v>5</v>
      </c>
      <c r="GQ82" s="197">
        <v>4</v>
      </c>
      <c r="GR82" s="195">
        <v>5</v>
      </c>
      <c r="GS82" s="195">
        <v>2</v>
      </c>
      <c r="GT82" s="195">
        <v>5</v>
      </c>
      <c r="GU82" s="195">
        <v>4</v>
      </c>
      <c r="GV82" s="193">
        <v>3</v>
      </c>
      <c r="GW82" s="192">
        <v>5</v>
      </c>
      <c r="GX82" s="192">
        <v>5</v>
      </c>
      <c r="GY82" s="189">
        <v>5</v>
      </c>
      <c r="GZ82" s="189">
        <v>2</v>
      </c>
      <c r="HA82" s="189">
        <v>2</v>
      </c>
      <c r="HB82" s="189">
        <v>1</v>
      </c>
      <c r="HC82" s="189">
        <v>1</v>
      </c>
      <c r="HD82" s="189">
        <v>3</v>
      </c>
      <c r="HE82" s="185">
        <v>1</v>
      </c>
      <c r="HF82" s="185">
        <v>15</v>
      </c>
      <c r="HG82" s="185">
        <v>4</v>
      </c>
      <c r="HH82" s="185">
        <v>2</v>
      </c>
      <c r="HI82" s="185">
        <v>2</v>
      </c>
      <c r="HJ82" s="185">
        <v>2</v>
      </c>
      <c r="HK82" s="185">
        <v>2</v>
      </c>
      <c r="HL82" s="184">
        <v>2</v>
      </c>
      <c r="HM82" s="184">
        <v>10</v>
      </c>
      <c r="HN82" s="184">
        <v>2</v>
      </c>
      <c r="HO82" s="184">
        <v>2</v>
      </c>
      <c r="HP82" s="183">
        <v>3</v>
      </c>
      <c r="HQ82" s="183">
        <v>2</v>
      </c>
      <c r="HR82" s="183">
        <v>2</v>
      </c>
      <c r="HS82" s="182">
        <v>2</v>
      </c>
      <c r="HT82" s="182">
        <v>2</v>
      </c>
      <c r="HU82" s="182">
        <v>1</v>
      </c>
      <c r="HV82" s="178">
        <v>45</v>
      </c>
      <c r="HW82" s="175">
        <v>1</v>
      </c>
      <c r="HX82" s="175">
        <v>4</v>
      </c>
      <c r="HY82" s="175">
        <v>1</v>
      </c>
      <c r="HZ82" s="175">
        <v>4</v>
      </c>
      <c r="IA82" s="175">
        <v>2</v>
      </c>
      <c r="IB82" s="174">
        <v>5</v>
      </c>
      <c r="IC82" s="174">
        <v>2</v>
      </c>
      <c r="ID82" s="173">
        <v>4</v>
      </c>
      <c r="IE82" s="172">
        <v>1</v>
      </c>
      <c r="IF82" s="172">
        <v>5</v>
      </c>
      <c r="IG82" s="171">
        <v>40</v>
      </c>
      <c r="IH82" s="170">
        <v>5</v>
      </c>
      <c r="II82" s="170">
        <v>4</v>
      </c>
      <c r="IJ82" s="167">
        <v>2</v>
      </c>
      <c r="IK82" s="167">
        <v>15</v>
      </c>
      <c r="IL82" s="167">
        <v>4</v>
      </c>
      <c r="IM82" s="164">
        <v>3</v>
      </c>
      <c r="IN82" s="164">
        <v>3</v>
      </c>
      <c r="IO82" s="164">
        <v>2</v>
      </c>
      <c r="IP82" s="159">
        <v>3</v>
      </c>
      <c r="IQ82" s="159">
        <v>5</v>
      </c>
      <c r="IR82" s="157">
        <v>2</v>
      </c>
      <c r="IS82" s="154">
        <v>5</v>
      </c>
      <c r="IT82" s="153">
        <v>45</v>
      </c>
      <c r="IU82" s="152">
        <v>45</v>
      </c>
      <c r="IV82" s="152">
        <v>85</v>
      </c>
      <c r="IW82" s="151">
        <v>15</v>
      </c>
      <c r="IX82" s="151">
        <v>5</v>
      </c>
      <c r="IY82" s="151">
        <v>4</v>
      </c>
      <c r="IZ82" s="151">
        <v>14</v>
      </c>
      <c r="JA82" s="151">
        <v>1</v>
      </c>
      <c r="JB82" s="151">
        <v>4</v>
      </c>
      <c r="JC82" s="151">
        <v>4</v>
      </c>
      <c r="JD82" s="151">
        <v>4</v>
      </c>
      <c r="JE82" s="150">
        <v>2</v>
      </c>
      <c r="JF82" s="150">
        <v>4</v>
      </c>
      <c r="JG82" s="150">
        <v>45</v>
      </c>
      <c r="JH82" s="149">
        <v>45</v>
      </c>
      <c r="JI82" s="149">
        <v>5</v>
      </c>
      <c r="JJ82" s="147">
        <v>7</v>
      </c>
      <c r="JK82" s="147">
        <v>48</v>
      </c>
      <c r="JL82" s="147">
        <v>3</v>
      </c>
      <c r="JM82" s="146">
        <v>1</v>
      </c>
      <c r="JN82" s="146">
        <v>5</v>
      </c>
      <c r="JO82" s="145">
        <v>7</v>
      </c>
      <c r="JP82" s="145">
        <v>2</v>
      </c>
      <c r="JQ82" s="145">
        <v>1</v>
      </c>
      <c r="JR82" s="144">
        <v>1</v>
      </c>
      <c r="JS82" s="144">
        <v>5</v>
      </c>
      <c r="JT82" s="143">
        <v>6</v>
      </c>
      <c r="JU82" s="143">
        <v>12</v>
      </c>
      <c r="JV82" s="142">
        <v>2</v>
      </c>
      <c r="JW82" s="142">
        <v>5</v>
      </c>
      <c r="JX82" s="141">
        <v>48</v>
      </c>
      <c r="JY82" s="141">
        <v>2</v>
      </c>
      <c r="JZ82" s="141">
        <v>4</v>
      </c>
      <c r="KA82" s="140">
        <v>4</v>
      </c>
      <c r="KB82" s="139">
        <v>4</v>
      </c>
      <c r="KC82" s="138">
        <v>4</v>
      </c>
      <c r="KD82" s="136">
        <v>12</v>
      </c>
      <c r="KE82" s="130">
        <v>5</v>
      </c>
      <c r="KF82" s="126">
        <v>2</v>
      </c>
      <c r="KG82" s="126">
        <v>1</v>
      </c>
      <c r="KH82" s="124">
        <v>5</v>
      </c>
      <c r="KI82" s="124">
        <v>17</v>
      </c>
      <c r="KJ82" s="123">
        <v>12</v>
      </c>
      <c r="KK82" s="123">
        <v>1</v>
      </c>
      <c r="KL82" s="123">
        <v>1</v>
      </c>
      <c r="KM82" s="121">
        <v>12</v>
      </c>
      <c r="KN82" s="121">
        <v>1</v>
      </c>
      <c r="KO82" s="119">
        <v>2</v>
      </c>
      <c r="KP82" s="119">
        <v>1</v>
      </c>
      <c r="KQ82" s="118">
        <v>12</v>
      </c>
      <c r="KR82" s="118">
        <v>6</v>
      </c>
      <c r="KS82" s="118">
        <v>6</v>
      </c>
      <c r="KT82" s="114">
        <v>1</v>
      </c>
      <c r="KU82" s="113">
        <v>12</v>
      </c>
      <c r="KV82" s="111">
        <v>30</v>
      </c>
      <c r="KW82" s="108">
        <v>17</v>
      </c>
      <c r="KX82" s="108">
        <v>20</v>
      </c>
      <c r="KY82" s="107">
        <v>2</v>
      </c>
      <c r="KZ82" s="107">
        <v>10</v>
      </c>
      <c r="LA82" s="107">
        <v>15</v>
      </c>
      <c r="LB82" s="107">
        <v>6</v>
      </c>
      <c r="LC82" s="107">
        <v>15</v>
      </c>
      <c r="LD82" s="107">
        <v>10</v>
      </c>
      <c r="LE82" s="107">
        <v>2</v>
      </c>
      <c r="LF82" s="107">
        <v>20</v>
      </c>
      <c r="LG82" s="107">
        <v>2</v>
      </c>
      <c r="LH82" s="107">
        <v>3</v>
      </c>
      <c r="LI82" s="107">
        <v>17</v>
      </c>
      <c r="LJ82" s="106">
        <v>15</v>
      </c>
      <c r="LK82" s="106">
        <v>6</v>
      </c>
      <c r="LL82" s="105">
        <v>2</v>
      </c>
      <c r="LM82" s="105">
        <v>33</v>
      </c>
      <c r="LN82" s="105">
        <v>3</v>
      </c>
      <c r="LO82" s="104">
        <v>10</v>
      </c>
      <c r="LP82" s="104">
        <v>15</v>
      </c>
      <c r="LQ82" s="103">
        <v>2</v>
      </c>
      <c r="LR82" s="102">
        <v>10</v>
      </c>
      <c r="LS82" s="101">
        <v>3</v>
      </c>
      <c r="LT82" s="100">
        <v>5</v>
      </c>
      <c r="LU82" s="100">
        <v>10</v>
      </c>
      <c r="LV82" s="99">
        <v>7</v>
      </c>
      <c r="LW82" s="92">
        <v>7</v>
      </c>
      <c r="LX82" s="91">
        <v>5</v>
      </c>
      <c r="LY82" s="91">
        <v>10</v>
      </c>
      <c r="LZ82" s="91">
        <v>1</v>
      </c>
      <c r="MA82" s="90">
        <v>5</v>
      </c>
      <c r="MB82" s="90">
        <v>12</v>
      </c>
      <c r="MC82" s="90">
        <v>5</v>
      </c>
      <c r="MD82" s="90">
        <v>50</v>
      </c>
      <c r="ME82" s="90">
        <v>1</v>
      </c>
      <c r="MF82" s="90">
        <v>1</v>
      </c>
      <c r="MG82" s="90">
        <v>2</v>
      </c>
      <c r="MH82" s="90">
        <v>20</v>
      </c>
      <c r="MI82" s="90">
        <v>2</v>
      </c>
      <c r="MJ82" s="90">
        <v>30</v>
      </c>
      <c r="MK82" s="90">
        <v>30</v>
      </c>
      <c r="ML82" s="90">
        <v>12</v>
      </c>
      <c r="MM82" s="90">
        <v>5</v>
      </c>
      <c r="MN82" s="90">
        <v>12</v>
      </c>
      <c r="MO82" s="90">
        <v>6</v>
      </c>
      <c r="MP82" s="90">
        <v>3</v>
      </c>
      <c r="MQ82" s="90">
        <v>1</v>
      </c>
      <c r="MR82" s="90">
        <v>20</v>
      </c>
      <c r="MS82" s="90">
        <v>12</v>
      </c>
    </row>
    <row r="83" spans="1:357" x14ac:dyDescent="0.35">
      <c r="C83" t="s">
        <v>273</v>
      </c>
      <c r="E83" s="3">
        <v>23.5</v>
      </c>
      <c r="F83" s="3">
        <v>23.5</v>
      </c>
      <c r="G83" s="3">
        <v>25.5</v>
      </c>
      <c r="H83" s="3">
        <v>25.5</v>
      </c>
      <c r="I83" s="3">
        <v>13</v>
      </c>
      <c r="J83" s="3">
        <v>53</v>
      </c>
      <c r="K83" s="3">
        <v>53</v>
      </c>
      <c r="L83" s="3">
        <v>20</v>
      </c>
      <c r="M83" s="3">
        <v>16</v>
      </c>
      <c r="N83" s="3">
        <v>20</v>
      </c>
      <c r="O83" s="3">
        <v>21</v>
      </c>
      <c r="P83" s="3">
        <v>14</v>
      </c>
      <c r="Q83" s="3">
        <v>40</v>
      </c>
      <c r="R83" s="3">
        <v>57</v>
      </c>
      <c r="S83" s="3">
        <v>21</v>
      </c>
      <c r="T83" s="3">
        <v>22</v>
      </c>
      <c r="U83" s="3">
        <v>22</v>
      </c>
      <c r="V83" s="3">
        <v>21</v>
      </c>
      <c r="W83" s="3">
        <v>18</v>
      </c>
      <c r="X83" s="3">
        <v>57</v>
      </c>
      <c r="Y83" s="3">
        <v>37</v>
      </c>
      <c r="Z83" s="3">
        <v>25</v>
      </c>
      <c r="AA83" s="3">
        <v>25</v>
      </c>
      <c r="AB83" s="3">
        <v>63</v>
      </c>
      <c r="AC83" s="3">
        <v>23.5</v>
      </c>
      <c r="AD83" s="3">
        <v>24</v>
      </c>
      <c r="AE83" s="3">
        <v>24</v>
      </c>
      <c r="AF83" s="3">
        <v>24</v>
      </c>
      <c r="AG83" s="3">
        <v>40</v>
      </c>
      <c r="AH83" s="3">
        <v>100</v>
      </c>
      <c r="AI83" s="3">
        <v>100</v>
      </c>
      <c r="AJ83" s="3">
        <v>15</v>
      </c>
      <c r="AK83" s="3">
        <v>15</v>
      </c>
      <c r="AL83" s="3">
        <v>58</v>
      </c>
      <c r="AM83" s="3">
        <v>22</v>
      </c>
      <c r="AN83" s="3">
        <v>22</v>
      </c>
      <c r="AO83" s="3">
        <v>24</v>
      </c>
      <c r="AP83" s="3">
        <v>17</v>
      </c>
      <c r="AQ83" s="3">
        <v>12</v>
      </c>
      <c r="AR83" s="3">
        <v>124</v>
      </c>
      <c r="AS83" s="3">
        <v>124</v>
      </c>
      <c r="AT83" s="3">
        <v>92</v>
      </c>
      <c r="AU83" s="3">
        <v>12.5</v>
      </c>
      <c r="AV83" s="3">
        <v>127</v>
      </c>
      <c r="AW83" s="3">
        <v>127</v>
      </c>
      <c r="AX83" s="3">
        <v>63</v>
      </c>
      <c r="AY83" s="3">
        <v>63</v>
      </c>
      <c r="AZ83" s="3">
        <v>22</v>
      </c>
      <c r="BA83" s="3">
        <v>63</v>
      </c>
      <c r="BB83" s="3">
        <v>63</v>
      </c>
      <c r="BC83" s="3">
        <v>20</v>
      </c>
      <c r="BD83" s="3">
        <v>20</v>
      </c>
      <c r="BE83" s="3">
        <v>55</v>
      </c>
      <c r="BF83" s="3">
        <v>17</v>
      </c>
      <c r="BG83" s="3">
        <v>17</v>
      </c>
      <c r="BH83" s="3">
        <v>17.5</v>
      </c>
      <c r="BI83" s="3">
        <v>130</v>
      </c>
      <c r="BJ83" s="3">
        <v>130</v>
      </c>
      <c r="BK83" s="3">
        <v>55</v>
      </c>
      <c r="BL83" s="3">
        <v>55</v>
      </c>
      <c r="BM83" s="3">
        <v>62.5</v>
      </c>
      <c r="BN83" s="3">
        <v>17.5</v>
      </c>
      <c r="BO83" s="3">
        <v>96</v>
      </c>
      <c r="BP83" s="3">
        <v>96</v>
      </c>
      <c r="BQ83" s="3">
        <v>20.5</v>
      </c>
      <c r="BR83" s="3">
        <v>20</v>
      </c>
      <c r="BS83" s="3">
        <v>20</v>
      </c>
      <c r="BT83" s="3">
        <v>15</v>
      </c>
      <c r="BU83" s="3">
        <v>17</v>
      </c>
      <c r="BV83" s="3">
        <v>38</v>
      </c>
      <c r="BW83" s="3">
        <v>38</v>
      </c>
      <c r="BX83" s="3">
        <v>44.5</v>
      </c>
      <c r="BY83" s="3">
        <v>15</v>
      </c>
      <c r="BZ83" s="3">
        <v>17</v>
      </c>
      <c r="CA83" s="3">
        <v>89</v>
      </c>
      <c r="CB83" s="3">
        <v>88</v>
      </c>
      <c r="CC83" s="3">
        <v>44.5</v>
      </c>
      <c r="CD83" s="3">
        <v>17</v>
      </c>
      <c r="CE83" s="3">
        <v>21</v>
      </c>
      <c r="CF83" s="3">
        <v>89</v>
      </c>
      <c r="CG83" s="3">
        <v>20</v>
      </c>
      <c r="CH83" s="3">
        <v>20</v>
      </c>
      <c r="CI83" s="3">
        <v>21</v>
      </c>
      <c r="CJ83" s="3">
        <v>30</v>
      </c>
      <c r="CK83" s="3">
        <v>31</v>
      </c>
      <c r="CL83" s="3">
        <v>23</v>
      </c>
      <c r="CM83" s="3">
        <v>23</v>
      </c>
      <c r="CN83" s="3">
        <v>96</v>
      </c>
      <c r="CO83" s="3">
        <v>96</v>
      </c>
      <c r="CP83" s="3">
        <v>96</v>
      </c>
      <c r="CQ83" s="3">
        <v>6</v>
      </c>
      <c r="CR83" s="3">
        <v>6</v>
      </c>
      <c r="CS83" s="3">
        <v>108</v>
      </c>
      <c r="CT83" s="3">
        <v>109</v>
      </c>
      <c r="CU83" s="3">
        <v>48</v>
      </c>
      <c r="CV83" s="3">
        <v>90</v>
      </c>
      <c r="CW83" s="3">
        <v>91</v>
      </c>
      <c r="CX83" s="3">
        <v>20</v>
      </c>
      <c r="CY83" s="3">
        <v>20</v>
      </c>
      <c r="CZ83" s="3">
        <v>17</v>
      </c>
      <c r="DA83" s="3">
        <v>24.5</v>
      </c>
      <c r="DB83" s="3">
        <v>125</v>
      </c>
      <c r="DC83" s="3">
        <v>18</v>
      </c>
      <c r="DD83" s="3">
        <v>23.5</v>
      </c>
      <c r="DE83" s="3">
        <v>16.5</v>
      </c>
      <c r="DF83" s="3">
        <v>97</v>
      </c>
      <c r="DG83" s="3">
        <v>97</v>
      </c>
      <c r="DH83" s="3">
        <v>125</v>
      </c>
      <c r="DI83" s="3">
        <v>125</v>
      </c>
      <c r="DJ83" s="3">
        <v>16.5</v>
      </c>
      <c r="DK83" s="3">
        <v>100</v>
      </c>
      <c r="DL83" s="3">
        <v>109</v>
      </c>
      <c r="DM83" s="3">
        <v>109</v>
      </c>
      <c r="DN83" s="3">
        <v>46</v>
      </c>
      <c r="DO83" s="3">
        <v>125</v>
      </c>
      <c r="DP83" s="3">
        <v>125</v>
      </c>
      <c r="DQ83" s="3">
        <v>17.5</v>
      </c>
      <c r="DR83" s="3">
        <v>47</v>
      </c>
      <c r="DS83" s="3">
        <v>47</v>
      </c>
      <c r="DT83" s="3">
        <v>48</v>
      </c>
      <c r="DU83" s="3">
        <v>46</v>
      </c>
      <c r="DV83" s="3">
        <v>75</v>
      </c>
      <c r="DW83" s="3">
        <v>46</v>
      </c>
      <c r="DX83" s="3">
        <v>20</v>
      </c>
      <c r="DY83" s="3">
        <v>20</v>
      </c>
      <c r="DZ83" s="3">
        <v>18.5</v>
      </c>
      <c r="EA83" s="3">
        <v>115</v>
      </c>
      <c r="EB83" s="3">
        <v>110</v>
      </c>
      <c r="EC83" s="3">
        <v>110</v>
      </c>
      <c r="ED83" s="3">
        <v>109</v>
      </c>
      <c r="EE83" s="3">
        <v>109</v>
      </c>
      <c r="EF83" s="3">
        <v>47</v>
      </c>
      <c r="EG83" s="3">
        <v>16</v>
      </c>
      <c r="EH83" s="3">
        <v>47</v>
      </c>
      <c r="EI83" s="3">
        <v>48</v>
      </c>
      <c r="EJ83" s="3">
        <v>60</v>
      </c>
      <c r="EK83" s="3">
        <v>114</v>
      </c>
      <c r="EL83" s="3">
        <v>49</v>
      </c>
      <c r="EM83" s="3">
        <v>97.5</v>
      </c>
      <c r="EN83" s="3">
        <v>11.5</v>
      </c>
      <c r="EO83" s="3">
        <v>20</v>
      </c>
      <c r="EP83" s="3">
        <v>20</v>
      </c>
      <c r="EQ83" s="3">
        <v>98.5</v>
      </c>
      <c r="ER83" s="3">
        <v>100</v>
      </c>
      <c r="ES83" s="3">
        <v>100</v>
      </c>
      <c r="ET83" s="3">
        <v>24.5</v>
      </c>
      <c r="EU83" s="3">
        <v>98.5</v>
      </c>
      <c r="EV83" s="3">
        <v>24.5</v>
      </c>
      <c r="EW83" s="3">
        <v>17.5</v>
      </c>
      <c r="EX83" s="3">
        <v>17.5</v>
      </c>
      <c r="EY83" s="3">
        <v>31</v>
      </c>
      <c r="EZ83" s="3">
        <v>49</v>
      </c>
      <c r="FA83" s="3">
        <v>29.5</v>
      </c>
      <c r="FB83" s="3">
        <v>58</v>
      </c>
      <c r="FC83" s="3">
        <v>56.5</v>
      </c>
      <c r="FD83" s="3">
        <v>114</v>
      </c>
      <c r="FE83" s="3">
        <v>114</v>
      </c>
      <c r="FF83" s="3">
        <v>56</v>
      </c>
      <c r="FG83" s="3">
        <v>57</v>
      </c>
      <c r="FH83" s="3">
        <v>15</v>
      </c>
      <c r="FI83" s="3">
        <v>825</v>
      </c>
      <c r="FJ83" s="3">
        <v>825</v>
      </c>
      <c r="FK83" s="3">
        <v>75</v>
      </c>
      <c r="FL83" s="3">
        <v>124</v>
      </c>
      <c r="FM83" s="3">
        <v>50</v>
      </c>
      <c r="FN83" s="3">
        <v>30</v>
      </c>
      <c r="FO83" s="3">
        <v>31</v>
      </c>
      <c r="FP83" s="3">
        <v>31</v>
      </c>
      <c r="FQ83" s="3">
        <v>30</v>
      </c>
      <c r="FR83" s="3">
        <v>15.5</v>
      </c>
      <c r="FS83" s="3">
        <v>15.5</v>
      </c>
      <c r="FT83" s="3">
        <v>26</v>
      </c>
      <c r="FU83" s="3">
        <v>26</v>
      </c>
      <c r="FV83" s="3">
        <v>63.5</v>
      </c>
      <c r="FW83" s="3">
        <v>56.5</v>
      </c>
      <c r="FX83" s="3">
        <v>124</v>
      </c>
      <c r="FY83" s="3">
        <v>75</v>
      </c>
      <c r="FZ83" s="3">
        <v>16</v>
      </c>
      <c r="GA83" s="3">
        <v>31</v>
      </c>
      <c r="GB83" s="3">
        <v>56.5</v>
      </c>
      <c r="GC83" s="3">
        <v>57.5</v>
      </c>
      <c r="GD83" s="3">
        <v>31</v>
      </c>
      <c r="GE83" s="3">
        <v>56.5</v>
      </c>
      <c r="GF83" s="3">
        <v>16</v>
      </c>
      <c r="GG83" s="3">
        <v>56</v>
      </c>
      <c r="GH83" s="3">
        <v>18.5</v>
      </c>
      <c r="GI83" s="3">
        <v>115</v>
      </c>
      <c r="GJ83" s="3">
        <v>115</v>
      </c>
      <c r="GK83" s="3">
        <v>115</v>
      </c>
      <c r="GL83" s="3">
        <v>116</v>
      </c>
      <c r="GM83" s="3">
        <v>18.5</v>
      </c>
      <c r="GN83" s="3">
        <v>25.5</v>
      </c>
      <c r="GO83" s="3">
        <v>25</v>
      </c>
      <c r="GP83" s="3">
        <v>25</v>
      </c>
      <c r="GQ83" s="3">
        <v>55.5</v>
      </c>
      <c r="GR83" s="3">
        <v>24.5</v>
      </c>
      <c r="GS83" s="3">
        <v>75</v>
      </c>
      <c r="GT83" s="3">
        <v>30.5</v>
      </c>
      <c r="GU83" s="3">
        <v>124</v>
      </c>
      <c r="GV83" s="3">
        <v>24</v>
      </c>
      <c r="GW83" s="3">
        <v>18.5</v>
      </c>
      <c r="GX83" s="3">
        <v>56.5</v>
      </c>
      <c r="GY83" s="3">
        <v>57.5</v>
      </c>
      <c r="GZ83" s="3">
        <v>56.5</v>
      </c>
      <c r="HA83" s="3">
        <v>46</v>
      </c>
      <c r="HB83" s="3">
        <v>6</v>
      </c>
      <c r="HC83" s="3">
        <v>560</v>
      </c>
      <c r="HD83" s="3">
        <v>10.5</v>
      </c>
      <c r="HE83" s="3">
        <v>815</v>
      </c>
      <c r="HF83" s="3">
        <v>112</v>
      </c>
      <c r="HG83" s="3">
        <v>121</v>
      </c>
      <c r="HH83" s="3">
        <v>73.5</v>
      </c>
      <c r="HI83" s="3">
        <v>68.5</v>
      </c>
      <c r="HJ83" s="3">
        <v>67.5</v>
      </c>
      <c r="HK83" s="3">
        <v>72.5</v>
      </c>
      <c r="HL83" s="3">
        <v>68.5</v>
      </c>
      <c r="HM83" s="3">
        <v>37.5</v>
      </c>
      <c r="HN83" s="3">
        <v>56.5</v>
      </c>
      <c r="HO83" s="3">
        <v>72</v>
      </c>
      <c r="HP83" s="3">
        <v>10.5</v>
      </c>
      <c r="HQ83" s="3">
        <v>43</v>
      </c>
      <c r="HR83" s="3">
        <v>75</v>
      </c>
      <c r="HS83" s="3">
        <v>56.5</v>
      </c>
      <c r="HT83" s="3">
        <v>72.5</v>
      </c>
      <c r="HU83" s="3">
        <v>820</v>
      </c>
      <c r="HV83" s="3">
        <v>11.5</v>
      </c>
      <c r="HW83" s="3">
        <v>6</v>
      </c>
      <c r="HX83" s="3">
        <v>32</v>
      </c>
      <c r="HY83" s="3">
        <v>820</v>
      </c>
      <c r="HZ83" s="3">
        <v>124</v>
      </c>
      <c r="IA83" s="3">
        <v>77</v>
      </c>
      <c r="IB83" s="3">
        <v>31</v>
      </c>
      <c r="IC83" s="3">
        <v>55.5</v>
      </c>
      <c r="ID83" s="3">
        <v>31</v>
      </c>
      <c r="IE83" s="3">
        <v>25</v>
      </c>
      <c r="IF83" s="3">
        <v>20</v>
      </c>
      <c r="IG83" s="3">
        <v>11</v>
      </c>
      <c r="IH83" s="3">
        <v>20</v>
      </c>
      <c r="II83" s="3">
        <v>125</v>
      </c>
      <c r="IJ83" s="3">
        <v>45</v>
      </c>
      <c r="IK83" s="3">
        <v>112</v>
      </c>
      <c r="IL83" s="3">
        <v>29.5</v>
      </c>
      <c r="IM83" s="3">
        <v>24.5</v>
      </c>
      <c r="IN83" s="3">
        <v>10.5</v>
      </c>
      <c r="IO83" s="3">
        <v>50</v>
      </c>
      <c r="IP83" s="3">
        <v>35</v>
      </c>
      <c r="IQ83" s="3">
        <v>20</v>
      </c>
      <c r="IR83" s="3">
        <v>44.5</v>
      </c>
      <c r="IS83" s="3">
        <v>26.5</v>
      </c>
      <c r="IT83" s="3">
        <v>11</v>
      </c>
      <c r="IU83" s="3">
        <v>11.5</v>
      </c>
      <c r="IV83" s="3">
        <v>11</v>
      </c>
      <c r="IW83" s="3">
        <v>110</v>
      </c>
      <c r="IX83" s="3">
        <v>27</v>
      </c>
      <c r="IY83" s="3">
        <v>29</v>
      </c>
      <c r="IZ83" s="3">
        <v>40</v>
      </c>
      <c r="JA83" s="3">
        <v>6</v>
      </c>
      <c r="JB83" s="3">
        <v>32</v>
      </c>
      <c r="JC83" s="3">
        <v>30</v>
      </c>
      <c r="JD83" s="3">
        <v>29</v>
      </c>
      <c r="JE83" s="3">
        <v>30</v>
      </c>
      <c r="JF83" s="3">
        <v>29</v>
      </c>
      <c r="JG83" s="3">
        <v>10.5</v>
      </c>
      <c r="JH83" s="3">
        <v>11.5</v>
      </c>
      <c r="JI83" s="3">
        <v>27.5</v>
      </c>
      <c r="JJ83" s="3">
        <v>11</v>
      </c>
      <c r="JK83" s="3">
        <v>11.5</v>
      </c>
      <c r="JL83" s="3">
        <v>56.5</v>
      </c>
      <c r="JM83" s="3">
        <v>105</v>
      </c>
      <c r="JN83" s="3">
        <v>55</v>
      </c>
      <c r="JO83" s="3">
        <v>31</v>
      </c>
      <c r="JP83" s="3">
        <v>34</v>
      </c>
      <c r="JQ83" s="3">
        <v>101</v>
      </c>
      <c r="JR83" s="3">
        <v>37.5</v>
      </c>
      <c r="JS83" s="3">
        <v>54.5</v>
      </c>
      <c r="JT83" s="3">
        <v>8</v>
      </c>
      <c r="JU83" s="3">
        <v>12</v>
      </c>
      <c r="JV83" s="3">
        <v>33</v>
      </c>
      <c r="JW83" s="3">
        <v>54.5</v>
      </c>
      <c r="JX83" s="3">
        <v>12</v>
      </c>
      <c r="JY83" s="3">
        <v>36</v>
      </c>
      <c r="JZ83" s="3">
        <v>31</v>
      </c>
      <c r="KA83" s="3">
        <v>33.5</v>
      </c>
      <c r="KB83" s="3">
        <v>34</v>
      </c>
      <c r="KC83" s="3">
        <v>34.5</v>
      </c>
      <c r="KD83" s="3">
        <v>15</v>
      </c>
      <c r="KE83" s="3">
        <v>60</v>
      </c>
      <c r="KF83" s="3">
        <v>30.5</v>
      </c>
      <c r="KG83" s="3">
        <v>620</v>
      </c>
      <c r="KH83" s="3">
        <v>60</v>
      </c>
      <c r="KI83" s="3">
        <v>11</v>
      </c>
      <c r="KJ83" s="3">
        <v>19.5</v>
      </c>
      <c r="KK83" s="3">
        <v>590</v>
      </c>
      <c r="KL83" s="3">
        <v>235</v>
      </c>
      <c r="KM83" s="3">
        <v>19.5</v>
      </c>
      <c r="KN83" s="3">
        <v>595</v>
      </c>
      <c r="KO83" s="3">
        <v>31.5</v>
      </c>
      <c r="KP83" s="3">
        <v>220</v>
      </c>
      <c r="KQ83" s="3">
        <v>19.5</v>
      </c>
      <c r="KR83" s="3">
        <v>105</v>
      </c>
      <c r="KS83" s="3">
        <v>103</v>
      </c>
      <c r="KT83" s="3">
        <v>520</v>
      </c>
      <c r="KU83" s="3">
        <v>21</v>
      </c>
      <c r="KV83" s="3">
        <v>11.5</v>
      </c>
      <c r="KW83" s="3">
        <v>10.5</v>
      </c>
      <c r="KX83" s="3">
        <v>39</v>
      </c>
      <c r="KY83" s="3">
        <v>21</v>
      </c>
      <c r="KZ83" s="3">
        <v>21</v>
      </c>
      <c r="LA83" s="3">
        <v>105</v>
      </c>
      <c r="LB83" s="3">
        <v>97.5</v>
      </c>
      <c r="LC83" s="3">
        <v>105</v>
      </c>
      <c r="LD83" s="3">
        <v>21</v>
      </c>
      <c r="LE83" s="3">
        <v>3</v>
      </c>
      <c r="LF83" s="3">
        <v>38</v>
      </c>
      <c r="LG83" s="3">
        <v>34</v>
      </c>
      <c r="LH83" s="3">
        <v>10</v>
      </c>
      <c r="LI83" s="3">
        <v>10</v>
      </c>
      <c r="LJ83" s="3">
        <v>102</v>
      </c>
      <c r="LK83" s="3">
        <v>92.5</v>
      </c>
      <c r="LL83" s="3">
        <v>32</v>
      </c>
      <c r="LM83" s="3">
        <v>12</v>
      </c>
      <c r="LN83" s="3">
        <v>9</v>
      </c>
      <c r="LO83" s="3">
        <v>23</v>
      </c>
      <c r="LP83" s="3">
        <v>100</v>
      </c>
      <c r="LQ83" s="3">
        <v>3</v>
      </c>
      <c r="LR83" s="3">
        <v>24.5</v>
      </c>
      <c r="LS83" s="3">
        <v>9</v>
      </c>
      <c r="LT83" s="3">
        <v>58</v>
      </c>
      <c r="LU83" s="3">
        <v>25</v>
      </c>
      <c r="LV83" s="3">
        <v>11.5</v>
      </c>
      <c r="LW83" s="3">
        <v>11.5</v>
      </c>
      <c r="LX83" s="3">
        <v>62</v>
      </c>
      <c r="LY83" s="3">
        <v>22.5</v>
      </c>
      <c r="LZ83" s="3">
        <v>560</v>
      </c>
      <c r="MA83" s="3">
        <v>61</v>
      </c>
      <c r="MB83" s="3">
        <v>24</v>
      </c>
      <c r="MC83" s="3">
        <v>60</v>
      </c>
      <c r="MD83" s="3">
        <v>12</v>
      </c>
      <c r="ME83" s="3">
        <v>510</v>
      </c>
      <c r="MF83" s="3">
        <v>510</v>
      </c>
      <c r="MG83" s="3">
        <v>3.5</v>
      </c>
      <c r="MH83" s="3">
        <v>33.5</v>
      </c>
      <c r="MI83" s="3">
        <v>116</v>
      </c>
      <c r="MJ83" s="3">
        <v>12.5</v>
      </c>
      <c r="MK83" s="3">
        <v>12.5</v>
      </c>
      <c r="ML83" s="3">
        <v>22</v>
      </c>
      <c r="MM83" s="3">
        <v>65</v>
      </c>
      <c r="MN83" s="3">
        <v>21</v>
      </c>
      <c r="MO83" s="3">
        <v>100</v>
      </c>
      <c r="MP83" s="3">
        <v>116</v>
      </c>
      <c r="MQ83" s="3">
        <v>196</v>
      </c>
      <c r="MR83" s="3">
        <v>35</v>
      </c>
      <c r="MS83" s="3">
        <v>22.5</v>
      </c>
    </row>
    <row r="84" spans="1:357" x14ac:dyDescent="0.35">
      <c r="C84" t="s">
        <v>247</v>
      </c>
      <c r="E84" s="3">
        <v>26.5</v>
      </c>
      <c r="F84" s="3">
        <v>26</v>
      </c>
      <c r="G84" s="3">
        <v>26.5</v>
      </c>
      <c r="H84" s="3">
        <v>26</v>
      </c>
      <c r="I84" s="3">
        <v>14.5</v>
      </c>
      <c r="J84" s="3">
        <v>52.5</v>
      </c>
      <c r="K84" s="3">
        <v>52</v>
      </c>
      <c r="L84" s="3">
        <v>20</v>
      </c>
      <c r="M84" s="3">
        <v>17</v>
      </c>
      <c r="N84" s="3">
        <v>20</v>
      </c>
      <c r="O84" s="3">
        <v>20.5</v>
      </c>
      <c r="P84" s="3">
        <v>13</v>
      </c>
      <c r="Q84" s="3">
        <v>40</v>
      </c>
      <c r="R84" s="3">
        <v>57</v>
      </c>
      <c r="S84" s="3">
        <v>20</v>
      </c>
      <c r="T84" s="3">
        <v>21</v>
      </c>
      <c r="U84" s="3">
        <v>21</v>
      </c>
      <c r="V84" s="3">
        <v>20</v>
      </c>
      <c r="W84" s="3">
        <v>20.5</v>
      </c>
      <c r="X84" s="3">
        <v>57</v>
      </c>
      <c r="Y84" s="3">
        <v>37</v>
      </c>
      <c r="Z84" s="3">
        <v>26</v>
      </c>
      <c r="AA84" s="3">
        <v>26.5</v>
      </c>
      <c r="AB84" s="3">
        <v>60</v>
      </c>
      <c r="AC84" s="3">
        <v>22.5</v>
      </c>
      <c r="AD84" s="3">
        <v>22.5</v>
      </c>
      <c r="AE84" s="3">
        <v>25</v>
      </c>
      <c r="AF84" s="3">
        <v>25</v>
      </c>
      <c r="AG84" s="3">
        <v>40</v>
      </c>
      <c r="AH84" s="3">
        <v>97</v>
      </c>
      <c r="AI84" s="3">
        <v>97</v>
      </c>
      <c r="AJ84" s="3">
        <v>17</v>
      </c>
      <c r="AK84" s="3">
        <v>17</v>
      </c>
      <c r="AL84" s="3">
        <v>57</v>
      </c>
      <c r="AM84" s="3">
        <v>22</v>
      </c>
      <c r="AN84" s="3">
        <v>22</v>
      </c>
      <c r="AO84" s="3">
        <v>24</v>
      </c>
      <c r="AP84" s="3">
        <v>17</v>
      </c>
      <c r="AQ84" s="3">
        <v>60</v>
      </c>
      <c r="AR84" s="3">
        <v>131</v>
      </c>
      <c r="AS84" s="3">
        <v>131</v>
      </c>
      <c r="AT84" s="3">
        <v>92</v>
      </c>
      <c r="AU84" s="3">
        <v>60</v>
      </c>
      <c r="AV84" s="3">
        <v>124</v>
      </c>
      <c r="AW84" s="3">
        <v>124</v>
      </c>
      <c r="AX84" s="3">
        <v>60</v>
      </c>
      <c r="AY84" s="3">
        <v>60</v>
      </c>
      <c r="AZ84" s="3">
        <v>22</v>
      </c>
      <c r="BA84" s="3">
        <v>63</v>
      </c>
      <c r="BB84" s="3">
        <v>60</v>
      </c>
      <c r="BC84" s="3">
        <v>20</v>
      </c>
      <c r="BD84" s="3">
        <v>20</v>
      </c>
      <c r="BE84" s="3">
        <v>55.5</v>
      </c>
      <c r="BF84" s="3">
        <v>16</v>
      </c>
      <c r="BG84" s="3">
        <v>16</v>
      </c>
      <c r="BH84" s="3">
        <v>17</v>
      </c>
      <c r="BI84" s="3">
        <v>127</v>
      </c>
      <c r="BJ84" s="3">
        <v>127</v>
      </c>
      <c r="BK84" s="3">
        <v>55</v>
      </c>
      <c r="BL84" s="3">
        <v>55</v>
      </c>
      <c r="BM84" s="3">
        <v>55</v>
      </c>
      <c r="BN84" s="3">
        <v>17</v>
      </c>
      <c r="BO84" s="3">
        <v>96</v>
      </c>
      <c r="BP84" s="3">
        <v>96</v>
      </c>
      <c r="BQ84" s="3">
        <v>20</v>
      </c>
      <c r="BR84" s="3">
        <v>20</v>
      </c>
      <c r="BS84" s="3">
        <v>20</v>
      </c>
      <c r="BT84" s="3">
        <v>14</v>
      </c>
      <c r="BU84" s="3">
        <v>17</v>
      </c>
      <c r="BV84" s="3">
        <v>38</v>
      </c>
      <c r="BW84" s="3">
        <v>38</v>
      </c>
      <c r="BX84" s="3">
        <v>44</v>
      </c>
      <c r="BY84" s="3">
        <v>14</v>
      </c>
      <c r="BZ84" s="3">
        <v>17</v>
      </c>
      <c r="CA84" s="3">
        <v>91</v>
      </c>
      <c r="CB84" s="3">
        <v>91</v>
      </c>
      <c r="CC84" s="3">
        <v>44</v>
      </c>
      <c r="CD84" s="3">
        <v>17.399999999999999</v>
      </c>
      <c r="CE84" s="3">
        <v>21.5</v>
      </c>
      <c r="CF84" s="3">
        <v>88</v>
      </c>
      <c r="CG84" s="3">
        <v>20</v>
      </c>
      <c r="CH84" s="3">
        <v>20</v>
      </c>
      <c r="CI84" s="3">
        <v>20</v>
      </c>
      <c r="CJ84" s="3">
        <v>30</v>
      </c>
      <c r="CK84" s="3">
        <v>31</v>
      </c>
      <c r="CL84" s="3">
        <v>22.5</v>
      </c>
      <c r="CM84" s="3">
        <v>22.5</v>
      </c>
      <c r="CN84" s="3">
        <v>96</v>
      </c>
      <c r="CO84" s="3">
        <v>96</v>
      </c>
      <c r="CP84" s="3">
        <v>96</v>
      </c>
      <c r="CQ84" s="3">
        <v>6</v>
      </c>
      <c r="CR84" s="3">
        <v>6</v>
      </c>
      <c r="CS84" s="3">
        <v>107</v>
      </c>
      <c r="CT84" s="3">
        <v>108</v>
      </c>
      <c r="CU84" s="3">
        <v>48</v>
      </c>
      <c r="CV84" s="3">
        <v>89</v>
      </c>
      <c r="CW84" s="3">
        <v>89</v>
      </c>
      <c r="CX84" s="3">
        <v>20</v>
      </c>
      <c r="CY84" s="3">
        <v>20</v>
      </c>
      <c r="CZ84" s="3">
        <v>17.399999999999999</v>
      </c>
      <c r="DA84" s="3">
        <v>26</v>
      </c>
      <c r="DB84" s="3">
        <v>130</v>
      </c>
      <c r="DC84" s="3">
        <v>17.3</v>
      </c>
      <c r="DD84" s="3">
        <v>26</v>
      </c>
      <c r="DE84" s="3">
        <v>16.5</v>
      </c>
      <c r="DF84" s="3">
        <v>96</v>
      </c>
      <c r="DG84" s="3">
        <v>96</v>
      </c>
      <c r="DH84" s="3">
        <v>125</v>
      </c>
      <c r="DI84" s="3">
        <v>125</v>
      </c>
      <c r="DJ84" s="3">
        <v>16.5</v>
      </c>
      <c r="DK84" s="3">
        <v>130</v>
      </c>
      <c r="DL84" s="3">
        <v>109</v>
      </c>
      <c r="DM84" s="3">
        <v>108</v>
      </c>
      <c r="DN84" s="3">
        <v>46</v>
      </c>
      <c r="DO84" s="3">
        <v>124</v>
      </c>
      <c r="DP84" s="3">
        <v>124</v>
      </c>
      <c r="DQ84" s="3">
        <v>18</v>
      </c>
      <c r="DR84" s="3">
        <v>47</v>
      </c>
      <c r="DS84" s="3">
        <v>47</v>
      </c>
      <c r="DT84" s="3">
        <v>48</v>
      </c>
      <c r="DU84" s="3">
        <v>46</v>
      </c>
      <c r="DV84" s="3">
        <v>75</v>
      </c>
      <c r="DW84" s="3">
        <v>46</v>
      </c>
      <c r="DX84" s="3">
        <v>19.5</v>
      </c>
      <c r="DY84" s="3">
        <v>19.5</v>
      </c>
      <c r="DZ84" s="3">
        <v>18</v>
      </c>
      <c r="EA84" s="3">
        <v>125</v>
      </c>
      <c r="EB84" s="3">
        <v>109</v>
      </c>
      <c r="EC84" s="3">
        <v>109</v>
      </c>
      <c r="ED84" s="3">
        <v>108</v>
      </c>
      <c r="EE84" s="3">
        <v>108</v>
      </c>
      <c r="EF84" s="3">
        <v>47</v>
      </c>
      <c r="EG84" s="3">
        <v>16.3</v>
      </c>
      <c r="EH84" s="3">
        <v>47</v>
      </c>
      <c r="EI84" s="3">
        <v>48</v>
      </c>
      <c r="EJ84" s="3">
        <v>62.5</v>
      </c>
      <c r="EK84" s="3">
        <v>114</v>
      </c>
      <c r="EL84" s="3">
        <v>49</v>
      </c>
      <c r="EM84" s="3">
        <v>98.5</v>
      </c>
      <c r="EN84" s="3">
        <v>12</v>
      </c>
      <c r="EO84" s="3">
        <v>18.5</v>
      </c>
      <c r="EP84" s="3">
        <v>18.5</v>
      </c>
      <c r="EQ84" s="3">
        <v>97.5</v>
      </c>
      <c r="ER84" s="3">
        <v>99</v>
      </c>
      <c r="ES84" s="3">
        <v>99</v>
      </c>
      <c r="ET84" s="3">
        <v>26.5</v>
      </c>
      <c r="EU84" s="3">
        <v>97.5</v>
      </c>
      <c r="EV84" s="3">
        <v>26</v>
      </c>
      <c r="EW84" s="3">
        <v>60</v>
      </c>
      <c r="EX84" s="3">
        <v>60</v>
      </c>
      <c r="EY84" s="3">
        <v>32.5</v>
      </c>
      <c r="EZ84" s="3">
        <v>49</v>
      </c>
      <c r="FA84" s="3">
        <v>29</v>
      </c>
      <c r="FB84" s="3">
        <v>60</v>
      </c>
      <c r="FC84" s="3">
        <v>56.5</v>
      </c>
      <c r="FD84" s="3">
        <v>113</v>
      </c>
      <c r="FE84" s="3">
        <v>114</v>
      </c>
      <c r="FF84" s="3">
        <v>56</v>
      </c>
      <c r="FG84" s="3">
        <v>58</v>
      </c>
      <c r="FH84" s="3">
        <v>14</v>
      </c>
      <c r="FI84" s="3">
        <v>810</v>
      </c>
      <c r="FJ84" s="3">
        <v>805</v>
      </c>
      <c r="FK84" s="3">
        <v>75</v>
      </c>
      <c r="FL84" s="3">
        <v>124</v>
      </c>
      <c r="FM84" s="3">
        <v>50</v>
      </c>
      <c r="FN84" s="3">
        <v>30</v>
      </c>
      <c r="FO84" s="3">
        <v>31</v>
      </c>
      <c r="FP84" s="3">
        <v>31</v>
      </c>
      <c r="FQ84" s="3">
        <v>29.5</v>
      </c>
      <c r="FR84" s="3">
        <v>15</v>
      </c>
      <c r="FS84" s="3">
        <v>15</v>
      </c>
      <c r="FT84" s="3">
        <v>26.5</v>
      </c>
      <c r="FU84" s="3">
        <v>26</v>
      </c>
      <c r="FV84" s="3">
        <v>62.5</v>
      </c>
      <c r="FW84" s="3">
        <v>56.5</v>
      </c>
      <c r="FX84" s="3">
        <v>124</v>
      </c>
      <c r="FY84" s="3">
        <v>75</v>
      </c>
      <c r="FZ84" s="3">
        <v>15.5</v>
      </c>
      <c r="GA84" s="3">
        <v>31</v>
      </c>
      <c r="GB84" s="3">
        <v>56.5</v>
      </c>
      <c r="GC84" s="3">
        <v>58</v>
      </c>
      <c r="GD84" s="3">
        <v>33</v>
      </c>
      <c r="GE84" s="3">
        <v>57.5</v>
      </c>
      <c r="GF84" s="3">
        <v>15.5</v>
      </c>
      <c r="GG84" s="3">
        <v>56.5</v>
      </c>
      <c r="GH84" s="3">
        <v>18.5</v>
      </c>
      <c r="GI84" s="3">
        <v>120</v>
      </c>
      <c r="GJ84" s="3">
        <v>120</v>
      </c>
      <c r="GK84" s="3">
        <v>120</v>
      </c>
      <c r="GL84" s="3">
        <v>120</v>
      </c>
      <c r="GM84" s="3">
        <v>18</v>
      </c>
      <c r="GN84" s="3">
        <v>25</v>
      </c>
      <c r="GO84" s="3">
        <v>26</v>
      </c>
      <c r="GP84" s="3">
        <v>26</v>
      </c>
      <c r="GQ84" s="3">
        <v>55</v>
      </c>
      <c r="GR84" s="3">
        <v>26</v>
      </c>
      <c r="GS84" s="3">
        <v>75</v>
      </c>
      <c r="GT84" s="3">
        <v>29.5</v>
      </c>
      <c r="GU84" s="3">
        <v>124</v>
      </c>
      <c r="GV84" s="3">
        <v>25</v>
      </c>
      <c r="GW84" s="3">
        <v>18.5</v>
      </c>
      <c r="GX84" s="3">
        <v>55.5</v>
      </c>
      <c r="GY84" s="3">
        <v>60</v>
      </c>
      <c r="GZ84" s="3">
        <v>57</v>
      </c>
      <c r="HA84" s="3">
        <v>46</v>
      </c>
      <c r="HB84" s="3">
        <v>7</v>
      </c>
      <c r="HC84" s="3">
        <v>580</v>
      </c>
      <c r="HD84" s="3">
        <v>12</v>
      </c>
      <c r="HE84" s="3">
        <v>800</v>
      </c>
      <c r="HF84" s="3">
        <v>111</v>
      </c>
      <c r="HG84" s="3">
        <v>124</v>
      </c>
      <c r="HH84" s="3">
        <v>75</v>
      </c>
      <c r="HI84" s="3">
        <v>71</v>
      </c>
      <c r="HJ84" s="3">
        <v>70</v>
      </c>
      <c r="HK84" s="3">
        <v>75</v>
      </c>
      <c r="HL84" s="3">
        <v>67.5</v>
      </c>
      <c r="HM84" s="3">
        <v>37.5</v>
      </c>
      <c r="HN84" s="3">
        <v>56.5</v>
      </c>
      <c r="HO84" s="3">
        <v>71</v>
      </c>
      <c r="HP84" s="3">
        <v>12</v>
      </c>
      <c r="HQ84" s="3">
        <v>42</v>
      </c>
      <c r="HR84" s="3">
        <v>75</v>
      </c>
      <c r="HS84" s="3">
        <v>56.5</v>
      </c>
      <c r="HT84" s="3">
        <v>72</v>
      </c>
      <c r="HU84" s="3">
        <v>815</v>
      </c>
      <c r="HV84" s="3">
        <v>12</v>
      </c>
      <c r="HW84" s="3">
        <v>8</v>
      </c>
      <c r="HX84" s="3">
        <v>31.5</v>
      </c>
      <c r="HY84" s="3">
        <v>820</v>
      </c>
      <c r="HZ84" s="3">
        <v>124</v>
      </c>
      <c r="IA84" s="3">
        <v>75</v>
      </c>
      <c r="IB84" s="3">
        <v>30.5</v>
      </c>
      <c r="IC84" s="3">
        <v>56.5</v>
      </c>
      <c r="ID84" s="3">
        <v>33</v>
      </c>
      <c r="IE84" s="3">
        <v>24</v>
      </c>
      <c r="IF84" s="3">
        <v>19</v>
      </c>
      <c r="IG84" s="3">
        <v>10.5</v>
      </c>
      <c r="IH84" s="3">
        <v>20</v>
      </c>
      <c r="II84" s="3">
        <v>124</v>
      </c>
      <c r="IJ84" s="3">
        <v>46</v>
      </c>
      <c r="IK84" s="3">
        <v>114</v>
      </c>
      <c r="IL84" s="3">
        <v>28.5</v>
      </c>
      <c r="IM84" s="3">
        <v>26.5</v>
      </c>
      <c r="IN84" s="3">
        <v>12</v>
      </c>
      <c r="IO84" s="3">
        <v>50</v>
      </c>
      <c r="IP84" s="3">
        <v>100</v>
      </c>
      <c r="IQ84" s="3">
        <v>20</v>
      </c>
      <c r="IR84" s="3">
        <v>45</v>
      </c>
      <c r="IS84" s="3">
        <v>26</v>
      </c>
      <c r="IT84" s="3">
        <v>11.5</v>
      </c>
      <c r="IU84" s="3">
        <v>10.5</v>
      </c>
      <c r="IV84" s="3">
        <v>10.5</v>
      </c>
      <c r="IW84" s="3">
        <v>112</v>
      </c>
      <c r="IX84" s="3">
        <v>26.5</v>
      </c>
      <c r="IY84" s="3">
        <v>28.5</v>
      </c>
      <c r="IZ84" s="3">
        <v>35.5</v>
      </c>
      <c r="JA84" s="3">
        <v>8</v>
      </c>
      <c r="JB84" s="3">
        <v>32</v>
      </c>
      <c r="JC84" s="3">
        <v>29.5</v>
      </c>
      <c r="JD84" s="3">
        <v>29</v>
      </c>
      <c r="JE84" s="3">
        <v>30</v>
      </c>
      <c r="JF84" s="3">
        <v>29</v>
      </c>
      <c r="JG84" s="3">
        <v>11</v>
      </c>
      <c r="JH84" s="3">
        <v>10.5</v>
      </c>
      <c r="JI84" s="3">
        <v>27</v>
      </c>
      <c r="JJ84" s="3">
        <v>11</v>
      </c>
      <c r="JK84" s="3">
        <v>11</v>
      </c>
      <c r="JL84" s="3">
        <v>56</v>
      </c>
      <c r="JM84" s="3">
        <v>115</v>
      </c>
      <c r="JN84" s="3">
        <v>57.5</v>
      </c>
      <c r="JO84" s="3">
        <v>30.5</v>
      </c>
      <c r="JP84" s="3">
        <v>37</v>
      </c>
      <c r="JQ84" s="3">
        <v>115</v>
      </c>
      <c r="JR84" s="3">
        <v>37</v>
      </c>
      <c r="JS84" s="3">
        <v>54.5</v>
      </c>
      <c r="JT84" s="3">
        <v>8</v>
      </c>
      <c r="JU84" s="3">
        <v>11.5</v>
      </c>
      <c r="JV84" s="3">
        <v>37</v>
      </c>
      <c r="JW84" s="3">
        <v>54.5</v>
      </c>
      <c r="JX84" s="3">
        <v>11.5</v>
      </c>
      <c r="JY84" s="3">
        <v>32</v>
      </c>
      <c r="JZ84" s="3">
        <v>30.5</v>
      </c>
      <c r="KA84" s="3">
        <v>33</v>
      </c>
      <c r="KB84" s="3">
        <v>33.5</v>
      </c>
      <c r="KC84" s="3">
        <v>34</v>
      </c>
      <c r="KD84" s="3">
        <v>25</v>
      </c>
      <c r="KE84" s="3">
        <v>62.5</v>
      </c>
      <c r="KF84" s="3">
        <v>29.5</v>
      </c>
      <c r="KG84" s="3">
        <v>570</v>
      </c>
      <c r="KH84" s="3">
        <v>62.5</v>
      </c>
      <c r="KI84" s="3">
        <v>12</v>
      </c>
      <c r="KJ84" s="3">
        <v>25</v>
      </c>
      <c r="KK84" s="3">
        <v>597.5</v>
      </c>
      <c r="KL84" s="3">
        <v>242.5</v>
      </c>
      <c r="KM84" s="3">
        <v>25</v>
      </c>
      <c r="KN84" s="3">
        <v>590</v>
      </c>
      <c r="KO84" s="3">
        <v>31</v>
      </c>
      <c r="KP84" s="3">
        <v>215</v>
      </c>
      <c r="KQ84" s="3">
        <v>25</v>
      </c>
      <c r="KR84" s="3">
        <v>108</v>
      </c>
      <c r="KS84" s="3">
        <v>105</v>
      </c>
      <c r="KT84" s="3">
        <v>510</v>
      </c>
      <c r="KU84" s="3">
        <v>25</v>
      </c>
      <c r="KV84" s="3">
        <v>11</v>
      </c>
      <c r="KW84" s="3">
        <v>12</v>
      </c>
      <c r="KX84" s="3">
        <v>35.5</v>
      </c>
      <c r="KY84" s="3">
        <v>25</v>
      </c>
      <c r="KZ84" s="3">
        <v>25</v>
      </c>
      <c r="LA84" s="3">
        <v>111</v>
      </c>
      <c r="LB84" s="3">
        <v>103</v>
      </c>
      <c r="LC84" s="3">
        <v>111</v>
      </c>
      <c r="LD84" s="3">
        <v>19</v>
      </c>
      <c r="LE84" s="3">
        <v>8</v>
      </c>
      <c r="LF84" s="3">
        <v>35.5</v>
      </c>
      <c r="LG84" s="3">
        <v>37.5</v>
      </c>
      <c r="LH84" s="3">
        <v>12</v>
      </c>
      <c r="LI84" s="3">
        <v>12</v>
      </c>
      <c r="LJ84" s="3">
        <v>111</v>
      </c>
      <c r="LK84" s="3">
        <v>97.5</v>
      </c>
      <c r="LL84" s="3">
        <v>37.5</v>
      </c>
      <c r="LM84" s="3">
        <v>11.5</v>
      </c>
      <c r="LN84" s="3">
        <v>12</v>
      </c>
      <c r="LO84" s="3">
        <v>21</v>
      </c>
      <c r="LP84" s="3">
        <v>111</v>
      </c>
      <c r="LQ84" s="3">
        <v>8</v>
      </c>
      <c r="LR84" s="3">
        <v>23</v>
      </c>
      <c r="LS84" s="3">
        <v>9.5</v>
      </c>
      <c r="LT84" s="3">
        <v>60</v>
      </c>
      <c r="LU84" s="3">
        <v>23.5</v>
      </c>
      <c r="LV84" s="3">
        <v>11</v>
      </c>
      <c r="LW84" s="3">
        <v>11</v>
      </c>
      <c r="LX84" s="3">
        <v>61</v>
      </c>
      <c r="LY84" s="3">
        <v>23.5</v>
      </c>
      <c r="LZ84" s="3">
        <v>510</v>
      </c>
      <c r="MA84" s="3">
        <v>62</v>
      </c>
      <c r="MB84" s="3">
        <v>25</v>
      </c>
      <c r="MC84" s="3">
        <v>61</v>
      </c>
      <c r="MD84" s="3">
        <v>11.5</v>
      </c>
      <c r="ME84" s="3">
        <v>510</v>
      </c>
      <c r="MF84" s="3">
        <v>510</v>
      </c>
      <c r="MG84" s="3">
        <v>8</v>
      </c>
      <c r="MH84" s="3">
        <v>34</v>
      </c>
      <c r="MI84" s="3">
        <v>116</v>
      </c>
      <c r="MJ84" s="3">
        <v>11.5</v>
      </c>
      <c r="MK84" s="3">
        <v>12</v>
      </c>
      <c r="ML84" s="3">
        <v>25</v>
      </c>
      <c r="MM84" s="3">
        <v>65</v>
      </c>
      <c r="MN84" s="3">
        <v>25</v>
      </c>
      <c r="MO84" s="3">
        <v>92.5</v>
      </c>
      <c r="MP84" s="3">
        <v>110</v>
      </c>
      <c r="MQ84" s="3">
        <v>190</v>
      </c>
      <c r="MR84" s="3">
        <v>34</v>
      </c>
      <c r="MS84" s="3">
        <v>25</v>
      </c>
    </row>
    <row r="85" spans="1:357" x14ac:dyDescent="0.35">
      <c r="C85" t="s">
        <v>13</v>
      </c>
      <c r="E85" s="3">
        <v>4</v>
      </c>
      <c r="F85" s="3">
        <v>4</v>
      </c>
      <c r="G85" s="3">
        <v>4</v>
      </c>
      <c r="H85" s="3">
        <v>4</v>
      </c>
      <c r="I85" s="3">
        <v>4</v>
      </c>
      <c r="J85" s="3">
        <v>4</v>
      </c>
      <c r="K85" s="3">
        <v>4</v>
      </c>
      <c r="L85" s="3">
        <v>4</v>
      </c>
      <c r="M85" s="3">
        <v>4</v>
      </c>
      <c r="N85" s="3">
        <v>4</v>
      </c>
      <c r="O85" s="3">
        <v>4</v>
      </c>
      <c r="P85" s="3">
        <v>4</v>
      </c>
      <c r="Q85" s="3">
        <v>4</v>
      </c>
      <c r="R85" s="3">
        <v>4</v>
      </c>
      <c r="S85" s="3">
        <v>4</v>
      </c>
      <c r="T85" s="3">
        <v>4</v>
      </c>
      <c r="U85" s="3">
        <v>4</v>
      </c>
      <c r="V85" s="3">
        <v>4</v>
      </c>
      <c r="W85" s="3">
        <v>4</v>
      </c>
      <c r="X85" s="3">
        <v>4</v>
      </c>
      <c r="Y85" s="3">
        <v>4</v>
      </c>
      <c r="Z85" s="3">
        <v>4</v>
      </c>
      <c r="AA85" s="3">
        <v>4</v>
      </c>
      <c r="AB85" s="3">
        <v>4</v>
      </c>
      <c r="AC85" s="3">
        <v>4</v>
      </c>
      <c r="AD85" s="3">
        <v>4</v>
      </c>
      <c r="AE85" s="3">
        <v>4</v>
      </c>
      <c r="AF85" s="3">
        <v>4</v>
      </c>
      <c r="AG85" s="3">
        <v>4</v>
      </c>
      <c r="AH85" s="3">
        <v>4</v>
      </c>
      <c r="AI85" s="3">
        <v>4</v>
      </c>
      <c r="AJ85" s="3">
        <v>4</v>
      </c>
      <c r="AK85" s="3">
        <v>4</v>
      </c>
      <c r="AL85" s="3">
        <v>4</v>
      </c>
      <c r="AM85" s="3">
        <v>4</v>
      </c>
      <c r="AN85" s="3">
        <v>4</v>
      </c>
      <c r="AO85" s="3">
        <v>4</v>
      </c>
      <c r="AP85" s="3">
        <v>4</v>
      </c>
      <c r="AQ85" s="3">
        <v>4</v>
      </c>
      <c r="AR85" s="3">
        <v>4</v>
      </c>
      <c r="AS85" s="3">
        <v>4</v>
      </c>
      <c r="AT85" s="3">
        <v>4</v>
      </c>
      <c r="AU85" s="3">
        <v>4</v>
      </c>
      <c r="AV85" s="3">
        <v>4</v>
      </c>
      <c r="AW85" s="3">
        <v>4</v>
      </c>
      <c r="AX85" s="3">
        <v>4</v>
      </c>
      <c r="AY85" s="3">
        <v>4</v>
      </c>
      <c r="AZ85" s="3">
        <v>4</v>
      </c>
      <c r="BA85" s="3">
        <v>4</v>
      </c>
      <c r="BB85" s="3">
        <v>4</v>
      </c>
      <c r="BC85" s="3">
        <v>4</v>
      </c>
      <c r="BD85" s="3">
        <v>4</v>
      </c>
      <c r="BE85" s="3">
        <v>4</v>
      </c>
      <c r="BF85" s="3">
        <v>4</v>
      </c>
      <c r="BG85" s="3">
        <v>4</v>
      </c>
      <c r="BH85" s="3">
        <v>4</v>
      </c>
      <c r="BI85" s="3">
        <v>4</v>
      </c>
      <c r="BJ85" s="3">
        <v>4</v>
      </c>
      <c r="BK85" s="3">
        <v>4</v>
      </c>
      <c r="BL85" s="3">
        <v>4</v>
      </c>
      <c r="BM85" s="3">
        <v>4</v>
      </c>
      <c r="BN85" s="3">
        <v>4</v>
      </c>
      <c r="BO85" s="3">
        <v>4</v>
      </c>
      <c r="BP85" s="3">
        <v>4</v>
      </c>
      <c r="BQ85" s="3">
        <v>4</v>
      </c>
      <c r="BR85" s="3">
        <v>4</v>
      </c>
      <c r="BS85" s="3">
        <v>0</v>
      </c>
      <c r="BT85" s="3">
        <v>0</v>
      </c>
      <c r="BU85" s="3">
        <v>0</v>
      </c>
      <c r="BV85" s="3">
        <v>0</v>
      </c>
      <c r="BW85" s="3">
        <v>0</v>
      </c>
      <c r="BX85" s="3">
        <v>0</v>
      </c>
      <c r="BY85" s="3">
        <v>0</v>
      </c>
      <c r="BZ85" s="3">
        <v>0</v>
      </c>
      <c r="CA85" s="3">
        <v>0</v>
      </c>
      <c r="CB85" s="3">
        <v>0</v>
      </c>
      <c r="CC85" s="3">
        <v>0</v>
      </c>
      <c r="CD85" s="3">
        <v>0</v>
      </c>
      <c r="CE85" s="3">
        <v>0</v>
      </c>
      <c r="CF85" s="3">
        <v>0</v>
      </c>
      <c r="CG85" s="3">
        <v>0</v>
      </c>
      <c r="CH85" s="3">
        <v>0</v>
      </c>
      <c r="CI85" s="3">
        <v>4</v>
      </c>
      <c r="CJ85" s="3">
        <v>4</v>
      </c>
      <c r="CK85" s="3">
        <v>4</v>
      </c>
      <c r="CL85" s="3">
        <v>4</v>
      </c>
      <c r="CM85" s="3">
        <v>4</v>
      </c>
      <c r="CN85" s="3">
        <v>4</v>
      </c>
      <c r="CO85" s="3">
        <v>4</v>
      </c>
      <c r="CP85" s="3">
        <v>4</v>
      </c>
      <c r="CQ85" s="3">
        <v>4</v>
      </c>
      <c r="CR85" s="3">
        <v>4</v>
      </c>
      <c r="CS85" s="3">
        <v>4</v>
      </c>
      <c r="CT85" s="3">
        <v>4</v>
      </c>
      <c r="CU85" s="3">
        <v>4</v>
      </c>
      <c r="CV85" s="3">
        <v>4</v>
      </c>
      <c r="CW85" s="3">
        <v>4</v>
      </c>
      <c r="CX85" s="3">
        <v>5</v>
      </c>
      <c r="CY85" s="3">
        <v>5</v>
      </c>
      <c r="CZ85" s="3">
        <v>5</v>
      </c>
      <c r="DA85" s="3">
        <v>2</v>
      </c>
      <c r="DB85" s="3">
        <v>0</v>
      </c>
      <c r="DC85" s="3">
        <v>5</v>
      </c>
      <c r="DD85" s="3">
        <v>0</v>
      </c>
      <c r="DE85" s="3">
        <v>0</v>
      </c>
      <c r="DF85" s="3">
        <v>0</v>
      </c>
      <c r="DG85" s="3">
        <v>5</v>
      </c>
      <c r="DH85" s="3">
        <v>5</v>
      </c>
      <c r="DI85" s="3">
        <v>0</v>
      </c>
      <c r="DJ85" s="3">
        <v>0</v>
      </c>
      <c r="DK85" s="3">
        <v>0</v>
      </c>
      <c r="DL85" s="3">
        <v>0</v>
      </c>
      <c r="DM85" s="3">
        <v>0</v>
      </c>
      <c r="DN85" s="3">
        <v>0</v>
      </c>
      <c r="DO85" s="3">
        <v>0</v>
      </c>
      <c r="DP85" s="3">
        <v>0</v>
      </c>
      <c r="DQ85" s="3">
        <v>0</v>
      </c>
      <c r="DR85" s="3">
        <v>0</v>
      </c>
      <c r="DS85" s="3">
        <v>0</v>
      </c>
      <c r="DT85" s="3">
        <v>0</v>
      </c>
      <c r="DU85" s="3">
        <v>0</v>
      </c>
      <c r="DV85" s="3">
        <v>0</v>
      </c>
      <c r="DW85" s="3">
        <v>0</v>
      </c>
      <c r="DX85" s="3">
        <v>0</v>
      </c>
      <c r="DY85" s="3">
        <v>0</v>
      </c>
      <c r="DZ85" s="3">
        <v>0</v>
      </c>
      <c r="EA85" s="3">
        <v>0</v>
      </c>
      <c r="EB85" s="3">
        <v>0</v>
      </c>
      <c r="EC85" s="3">
        <v>0</v>
      </c>
      <c r="ED85" s="3">
        <v>0</v>
      </c>
      <c r="EE85" s="3">
        <v>0</v>
      </c>
      <c r="EF85" s="3">
        <v>0</v>
      </c>
      <c r="EG85" s="3">
        <v>0</v>
      </c>
      <c r="EH85" s="3">
        <v>0</v>
      </c>
      <c r="EI85" s="3">
        <v>0</v>
      </c>
      <c r="EJ85" s="3">
        <v>0</v>
      </c>
      <c r="EK85" s="3">
        <v>0</v>
      </c>
      <c r="EL85" s="3">
        <v>0</v>
      </c>
      <c r="EM85" s="3">
        <v>0</v>
      </c>
      <c r="EN85" s="3">
        <v>0</v>
      </c>
      <c r="EO85" s="3">
        <v>0</v>
      </c>
      <c r="EP85" s="3">
        <v>0</v>
      </c>
      <c r="EQ85" s="3">
        <v>0</v>
      </c>
      <c r="ER85" s="3">
        <v>0</v>
      </c>
      <c r="ES85" s="3">
        <v>0</v>
      </c>
      <c r="ET85" s="3">
        <v>0</v>
      </c>
      <c r="EU85" s="3">
        <v>0</v>
      </c>
      <c r="EV85" s="3">
        <v>0</v>
      </c>
      <c r="EW85" s="3">
        <v>0</v>
      </c>
      <c r="EX85" s="3">
        <v>0</v>
      </c>
      <c r="EY85" s="3">
        <v>0</v>
      </c>
      <c r="EZ85" s="3">
        <v>0</v>
      </c>
      <c r="FA85" s="3">
        <v>0</v>
      </c>
      <c r="FB85" s="3">
        <v>0</v>
      </c>
      <c r="FC85" s="3">
        <v>0</v>
      </c>
      <c r="FD85" s="3">
        <v>0</v>
      </c>
      <c r="FE85" s="3">
        <v>0</v>
      </c>
      <c r="FF85" s="3">
        <v>0</v>
      </c>
      <c r="FG85" s="3">
        <v>0</v>
      </c>
      <c r="FH85" s="3">
        <v>0</v>
      </c>
      <c r="FI85" s="3">
        <v>0</v>
      </c>
      <c r="FJ85" s="3">
        <v>0</v>
      </c>
      <c r="FK85" s="3">
        <v>0</v>
      </c>
      <c r="FL85" s="3">
        <v>0</v>
      </c>
      <c r="FM85" s="3">
        <v>0</v>
      </c>
      <c r="FN85" s="3">
        <v>0</v>
      </c>
      <c r="FO85" s="3">
        <v>0</v>
      </c>
      <c r="FP85" s="3">
        <v>0</v>
      </c>
      <c r="FQ85" s="3">
        <v>0</v>
      </c>
      <c r="FR85" s="3">
        <v>0</v>
      </c>
      <c r="FS85" s="3">
        <v>0</v>
      </c>
      <c r="FT85" s="3">
        <v>0</v>
      </c>
      <c r="FU85" s="3">
        <v>0</v>
      </c>
      <c r="FV85" s="3">
        <v>0</v>
      </c>
      <c r="FW85" s="3">
        <v>0</v>
      </c>
      <c r="FX85" s="3">
        <v>0</v>
      </c>
      <c r="FY85" s="3">
        <v>0</v>
      </c>
      <c r="FZ85" s="3">
        <v>0</v>
      </c>
      <c r="GA85" s="3">
        <v>0</v>
      </c>
      <c r="GB85" s="3">
        <v>0</v>
      </c>
      <c r="GC85" s="3">
        <v>0</v>
      </c>
      <c r="GD85" s="3">
        <v>0</v>
      </c>
      <c r="GE85" s="3">
        <v>0</v>
      </c>
      <c r="GF85" s="3">
        <v>0</v>
      </c>
      <c r="GG85" s="3">
        <v>0</v>
      </c>
      <c r="GH85" s="3">
        <v>0</v>
      </c>
      <c r="GI85" s="3">
        <v>0</v>
      </c>
      <c r="GJ85" s="3">
        <v>0</v>
      </c>
      <c r="GK85" s="3">
        <v>0</v>
      </c>
      <c r="GL85" s="3">
        <v>0</v>
      </c>
      <c r="GM85" s="3">
        <v>0</v>
      </c>
      <c r="GN85" s="3">
        <v>0</v>
      </c>
      <c r="GO85" s="3">
        <v>0</v>
      </c>
      <c r="GP85" s="3">
        <v>0</v>
      </c>
      <c r="GQ85" s="3">
        <v>0</v>
      </c>
      <c r="GR85" s="3">
        <v>0</v>
      </c>
      <c r="GS85" s="3">
        <v>0</v>
      </c>
      <c r="GT85" s="3">
        <v>0</v>
      </c>
      <c r="GU85" s="3">
        <v>0</v>
      </c>
      <c r="GV85" s="3">
        <v>0</v>
      </c>
      <c r="GW85" s="3">
        <v>0</v>
      </c>
      <c r="GX85" s="3">
        <v>0</v>
      </c>
      <c r="GY85" s="3">
        <v>0</v>
      </c>
      <c r="GZ85" s="3">
        <v>0</v>
      </c>
      <c r="HA85" s="3">
        <v>0</v>
      </c>
      <c r="HB85" s="3">
        <v>0</v>
      </c>
      <c r="HC85" s="3">
        <v>0</v>
      </c>
      <c r="HD85" s="3">
        <v>0</v>
      </c>
      <c r="HE85" s="3">
        <v>5</v>
      </c>
      <c r="HF85" s="3">
        <v>5</v>
      </c>
      <c r="HG85" s="3">
        <v>5</v>
      </c>
      <c r="HH85" s="3">
        <v>5</v>
      </c>
      <c r="HI85" s="3">
        <v>5</v>
      </c>
      <c r="HJ85" s="3">
        <v>5</v>
      </c>
      <c r="HK85" s="3">
        <v>5</v>
      </c>
      <c r="HL85" s="3">
        <v>5</v>
      </c>
      <c r="HM85" s="3">
        <v>5</v>
      </c>
      <c r="HN85" s="3">
        <v>5</v>
      </c>
      <c r="HO85" s="3">
        <v>5</v>
      </c>
      <c r="HP85" s="3">
        <v>5</v>
      </c>
      <c r="HQ85" s="3">
        <v>5</v>
      </c>
      <c r="HR85" s="3">
        <v>5</v>
      </c>
      <c r="HS85" s="3">
        <v>5</v>
      </c>
      <c r="HT85" s="3">
        <v>5</v>
      </c>
      <c r="HU85" s="3">
        <v>5</v>
      </c>
      <c r="HV85" s="3">
        <v>5</v>
      </c>
      <c r="HW85" s="3">
        <v>5</v>
      </c>
      <c r="HX85" s="3">
        <v>5</v>
      </c>
      <c r="HY85" s="3">
        <v>5</v>
      </c>
      <c r="HZ85" s="3">
        <v>5</v>
      </c>
      <c r="IA85" s="3">
        <v>5</v>
      </c>
      <c r="IB85" s="3">
        <v>5</v>
      </c>
      <c r="IC85" s="3">
        <v>5</v>
      </c>
      <c r="ID85" s="3">
        <v>5</v>
      </c>
      <c r="IE85" s="3">
        <v>5</v>
      </c>
      <c r="IF85" s="3">
        <v>5</v>
      </c>
      <c r="IG85" s="3">
        <v>5</v>
      </c>
      <c r="IH85" s="3">
        <v>5</v>
      </c>
      <c r="II85" s="3">
        <v>5</v>
      </c>
      <c r="IJ85" s="3">
        <v>5</v>
      </c>
      <c r="IK85" s="3">
        <v>5</v>
      </c>
      <c r="IL85" s="3">
        <v>5</v>
      </c>
      <c r="IM85" s="3">
        <v>5</v>
      </c>
      <c r="IN85" s="3">
        <v>5</v>
      </c>
      <c r="IO85" s="3">
        <v>5</v>
      </c>
      <c r="IP85" s="3">
        <v>5</v>
      </c>
      <c r="IQ85" s="3">
        <v>5</v>
      </c>
      <c r="IR85" s="3">
        <v>5</v>
      </c>
      <c r="IS85" s="3">
        <v>5</v>
      </c>
      <c r="IT85" s="3">
        <v>5</v>
      </c>
      <c r="IU85" s="3">
        <v>5</v>
      </c>
      <c r="IV85" s="3">
        <v>5</v>
      </c>
      <c r="IW85" s="3">
        <v>5</v>
      </c>
      <c r="IX85" s="3">
        <v>5</v>
      </c>
      <c r="IY85" s="3">
        <v>5</v>
      </c>
      <c r="IZ85" s="3">
        <v>5</v>
      </c>
      <c r="JA85" s="3">
        <v>5</v>
      </c>
      <c r="JB85" s="3">
        <v>5</v>
      </c>
      <c r="JC85" s="3">
        <v>5</v>
      </c>
      <c r="JD85" s="3">
        <v>5</v>
      </c>
      <c r="JE85" s="3">
        <v>5</v>
      </c>
      <c r="JF85" s="3">
        <v>5</v>
      </c>
      <c r="JG85" s="3">
        <v>5</v>
      </c>
      <c r="JH85" s="3">
        <v>5</v>
      </c>
      <c r="JI85" s="3">
        <v>0</v>
      </c>
      <c r="JJ85" s="3">
        <v>0</v>
      </c>
      <c r="JK85" s="3">
        <v>0</v>
      </c>
      <c r="JL85" s="3">
        <v>5</v>
      </c>
      <c r="JM85" s="3">
        <v>5</v>
      </c>
      <c r="JN85" s="3">
        <v>5</v>
      </c>
      <c r="JO85" s="3">
        <v>5</v>
      </c>
      <c r="JP85" s="3">
        <v>5</v>
      </c>
      <c r="JQ85" s="3">
        <v>5</v>
      </c>
      <c r="JR85" s="3">
        <v>5</v>
      </c>
      <c r="JS85" s="3">
        <v>5</v>
      </c>
      <c r="JT85" s="3">
        <v>0</v>
      </c>
      <c r="JU85" s="3">
        <v>0</v>
      </c>
      <c r="JV85" s="3">
        <v>0</v>
      </c>
      <c r="JW85" s="3">
        <v>0</v>
      </c>
      <c r="JX85" s="3">
        <v>0</v>
      </c>
      <c r="JY85" s="3">
        <v>0</v>
      </c>
      <c r="JZ85" s="3">
        <v>0</v>
      </c>
      <c r="KA85" s="3">
        <v>0</v>
      </c>
      <c r="KB85" s="3">
        <v>0</v>
      </c>
      <c r="KC85" s="3">
        <v>0</v>
      </c>
      <c r="KD85" s="3">
        <v>0</v>
      </c>
      <c r="KE85" s="3">
        <v>0</v>
      </c>
      <c r="KF85" s="3">
        <v>0</v>
      </c>
      <c r="KG85" s="3">
        <v>0</v>
      </c>
      <c r="KH85" s="3">
        <v>0</v>
      </c>
      <c r="KI85" s="3">
        <v>0</v>
      </c>
      <c r="KJ85" s="3">
        <v>0</v>
      </c>
      <c r="KK85" s="3">
        <v>0</v>
      </c>
      <c r="KL85" s="3">
        <v>0</v>
      </c>
      <c r="KM85" s="3">
        <v>0</v>
      </c>
      <c r="KN85" s="3">
        <v>0</v>
      </c>
      <c r="KO85" s="3">
        <v>0</v>
      </c>
      <c r="KP85" s="3">
        <v>0</v>
      </c>
      <c r="KQ85" s="3">
        <v>0</v>
      </c>
      <c r="KR85" s="3">
        <v>0</v>
      </c>
      <c r="KS85" s="3">
        <v>0</v>
      </c>
      <c r="KT85" s="3">
        <v>0</v>
      </c>
      <c r="KU85" s="3">
        <v>0</v>
      </c>
      <c r="KV85" s="3">
        <v>0</v>
      </c>
      <c r="KW85" s="3">
        <v>0</v>
      </c>
      <c r="KX85" s="3">
        <v>0</v>
      </c>
      <c r="KY85" s="3">
        <v>0</v>
      </c>
      <c r="KZ85" s="3">
        <v>0</v>
      </c>
      <c r="LA85" s="3">
        <v>0</v>
      </c>
      <c r="LB85" s="3">
        <v>0</v>
      </c>
      <c r="LC85" s="3">
        <v>0</v>
      </c>
      <c r="LD85" s="3">
        <v>0</v>
      </c>
      <c r="LE85" s="3">
        <v>0</v>
      </c>
      <c r="LF85" s="3">
        <v>0</v>
      </c>
      <c r="LG85" s="3">
        <v>0</v>
      </c>
      <c r="LH85" s="3">
        <v>0</v>
      </c>
      <c r="LI85" s="3">
        <v>0</v>
      </c>
      <c r="LJ85" s="3">
        <v>0</v>
      </c>
      <c r="LK85" s="3">
        <v>0</v>
      </c>
      <c r="LL85" s="3">
        <v>0</v>
      </c>
      <c r="LM85" s="3">
        <v>0</v>
      </c>
      <c r="LN85" s="3">
        <v>0</v>
      </c>
      <c r="LO85" s="3">
        <v>0</v>
      </c>
      <c r="LP85" s="3">
        <v>0</v>
      </c>
      <c r="LQ85" s="3">
        <v>0</v>
      </c>
      <c r="LR85" s="3">
        <v>0</v>
      </c>
      <c r="LS85" s="3">
        <v>0</v>
      </c>
      <c r="LT85" s="3">
        <v>0</v>
      </c>
      <c r="LU85" s="3">
        <v>0</v>
      </c>
      <c r="LV85" s="3">
        <v>0</v>
      </c>
      <c r="LW85" s="3">
        <v>0</v>
      </c>
      <c r="LX85" s="3">
        <v>7</v>
      </c>
      <c r="LY85" s="3">
        <v>7</v>
      </c>
      <c r="LZ85" s="3">
        <v>7</v>
      </c>
      <c r="MA85" s="3">
        <v>7</v>
      </c>
      <c r="MB85" s="3">
        <v>7</v>
      </c>
      <c r="MC85" s="3">
        <v>7</v>
      </c>
      <c r="MD85" s="3">
        <v>7</v>
      </c>
      <c r="ME85" s="3">
        <v>7</v>
      </c>
      <c r="MF85" s="3">
        <v>7</v>
      </c>
      <c r="MG85" s="3">
        <v>7</v>
      </c>
      <c r="MH85" s="3">
        <v>7</v>
      </c>
      <c r="MI85" s="3">
        <v>7</v>
      </c>
      <c r="MJ85" s="3">
        <v>7</v>
      </c>
      <c r="MK85" s="3">
        <v>7</v>
      </c>
      <c r="ML85" s="3">
        <v>7</v>
      </c>
      <c r="MM85" s="3">
        <v>7</v>
      </c>
      <c r="MN85" s="3">
        <v>7</v>
      </c>
      <c r="MO85" s="3">
        <v>7</v>
      </c>
      <c r="MP85" s="3">
        <v>7</v>
      </c>
      <c r="MQ85" s="3">
        <v>7</v>
      </c>
      <c r="MR85" s="3">
        <v>7</v>
      </c>
      <c r="MS85" s="3">
        <v>7</v>
      </c>
    </row>
    <row r="86" spans="1:357" x14ac:dyDescent="0.35">
      <c r="A86" s="27"/>
      <c r="C86" t="s">
        <v>14</v>
      </c>
      <c r="E86" s="3">
        <v>0</v>
      </c>
      <c r="F86" s="3">
        <v>0</v>
      </c>
      <c r="G86" s="3">
        <v>0</v>
      </c>
      <c r="H86" s="3">
        <v>0</v>
      </c>
      <c r="I86" s="3">
        <v>0</v>
      </c>
      <c r="J86" s="3">
        <v>0</v>
      </c>
      <c r="K86" s="3">
        <v>0</v>
      </c>
      <c r="L86" s="3">
        <v>0</v>
      </c>
      <c r="M86" s="3">
        <v>0</v>
      </c>
      <c r="N86" s="3">
        <v>0</v>
      </c>
      <c r="O86" s="3">
        <v>0</v>
      </c>
      <c r="P86" s="3">
        <v>0</v>
      </c>
      <c r="Q86" s="3">
        <v>0</v>
      </c>
      <c r="R86" s="3">
        <v>0</v>
      </c>
      <c r="S86" s="3">
        <v>0</v>
      </c>
      <c r="T86" s="3">
        <v>0</v>
      </c>
      <c r="U86" s="3">
        <v>0</v>
      </c>
      <c r="V86" s="3">
        <v>0</v>
      </c>
      <c r="W86" s="3">
        <v>0</v>
      </c>
      <c r="X86" s="3">
        <v>0</v>
      </c>
      <c r="Y86" s="3">
        <v>0</v>
      </c>
      <c r="Z86" s="3">
        <v>0</v>
      </c>
      <c r="AA86" s="3">
        <v>0</v>
      </c>
      <c r="AB86" s="3">
        <v>0</v>
      </c>
      <c r="AC86" s="3">
        <v>0</v>
      </c>
      <c r="AD86" s="3">
        <v>0</v>
      </c>
      <c r="AE86" s="3">
        <v>0</v>
      </c>
      <c r="AF86" s="3">
        <v>0</v>
      </c>
      <c r="AG86" s="3">
        <v>0</v>
      </c>
      <c r="AH86" s="3">
        <v>0</v>
      </c>
      <c r="AI86" s="3">
        <v>0</v>
      </c>
      <c r="AJ86" s="3">
        <v>0</v>
      </c>
      <c r="AK86" s="3">
        <v>0</v>
      </c>
      <c r="AL86" s="3">
        <v>0</v>
      </c>
      <c r="AM86" s="3">
        <v>0</v>
      </c>
      <c r="AN86" s="3">
        <v>0</v>
      </c>
      <c r="AO86" s="3">
        <v>0</v>
      </c>
      <c r="AP86" s="3">
        <v>0</v>
      </c>
      <c r="AQ86" s="3">
        <v>0</v>
      </c>
      <c r="AR86" s="3">
        <v>0</v>
      </c>
      <c r="AS86" s="3">
        <v>0</v>
      </c>
      <c r="AT86" s="3">
        <v>0</v>
      </c>
      <c r="AU86" s="3">
        <v>0</v>
      </c>
      <c r="AV86" s="3">
        <v>0</v>
      </c>
      <c r="AW86" s="3">
        <v>0</v>
      </c>
      <c r="AX86" s="3">
        <v>0</v>
      </c>
      <c r="AY86" s="3">
        <v>0</v>
      </c>
      <c r="AZ86" s="3">
        <v>0</v>
      </c>
      <c r="BA86" s="3">
        <v>0</v>
      </c>
      <c r="BB86" s="3">
        <v>0</v>
      </c>
      <c r="BC86" s="3">
        <v>0</v>
      </c>
      <c r="BD86" s="3">
        <v>0</v>
      </c>
      <c r="BE86" s="3">
        <v>0</v>
      </c>
      <c r="BF86" s="3">
        <v>0</v>
      </c>
      <c r="BG86" s="3">
        <v>0</v>
      </c>
      <c r="BH86" s="3">
        <v>0</v>
      </c>
      <c r="BI86" s="3">
        <v>0</v>
      </c>
      <c r="BJ86" s="3">
        <v>0</v>
      </c>
      <c r="BK86" s="3">
        <v>0</v>
      </c>
      <c r="BL86" s="3">
        <v>0</v>
      </c>
      <c r="BM86" s="3">
        <v>0</v>
      </c>
      <c r="BN86" s="3">
        <v>0</v>
      </c>
      <c r="BO86" s="3">
        <v>0</v>
      </c>
      <c r="BP86" s="3">
        <v>0</v>
      </c>
      <c r="BQ86" s="3">
        <v>0</v>
      </c>
      <c r="BR86" s="3">
        <v>0</v>
      </c>
      <c r="BS86" s="3">
        <v>0</v>
      </c>
      <c r="BT86" s="3">
        <v>0</v>
      </c>
      <c r="BU86" s="3">
        <v>0</v>
      </c>
      <c r="BV86" s="3">
        <v>0</v>
      </c>
      <c r="BW86" s="3">
        <v>0</v>
      </c>
      <c r="BX86" s="3">
        <v>0</v>
      </c>
      <c r="BY86" s="3">
        <v>0</v>
      </c>
      <c r="BZ86" s="3">
        <v>0</v>
      </c>
      <c r="CA86" s="3">
        <v>0</v>
      </c>
      <c r="CB86" s="3">
        <v>0</v>
      </c>
      <c r="CC86" s="3">
        <v>0</v>
      </c>
      <c r="CD86" s="3">
        <v>0</v>
      </c>
      <c r="CE86" s="3">
        <v>0</v>
      </c>
      <c r="CF86" s="3">
        <v>0</v>
      </c>
      <c r="CG86" s="3">
        <v>0</v>
      </c>
      <c r="CH86" s="3">
        <v>0</v>
      </c>
      <c r="CI86" s="3">
        <v>0</v>
      </c>
      <c r="CJ86" s="3">
        <v>0</v>
      </c>
      <c r="CK86" s="3">
        <v>0</v>
      </c>
      <c r="CL86" s="3">
        <v>0</v>
      </c>
      <c r="CM86" s="3">
        <v>0</v>
      </c>
      <c r="CN86" s="3">
        <v>0</v>
      </c>
      <c r="CO86" s="3">
        <v>0</v>
      </c>
      <c r="CP86" s="3">
        <v>0</v>
      </c>
      <c r="CQ86" s="3">
        <v>0</v>
      </c>
      <c r="CR86" s="3">
        <v>0</v>
      </c>
      <c r="CS86" s="3">
        <v>0</v>
      </c>
      <c r="CT86" s="3">
        <v>0</v>
      </c>
      <c r="CU86" s="3">
        <v>0</v>
      </c>
      <c r="CV86" s="3">
        <v>0</v>
      </c>
      <c r="CW86" s="3">
        <v>0</v>
      </c>
      <c r="CX86" s="3">
        <v>0</v>
      </c>
      <c r="CY86" s="3">
        <v>0</v>
      </c>
      <c r="CZ86" s="3">
        <v>0</v>
      </c>
      <c r="DA86" s="3">
        <v>0</v>
      </c>
      <c r="DB86" s="3">
        <v>0</v>
      </c>
      <c r="DC86" s="3">
        <v>0</v>
      </c>
      <c r="DD86" s="3">
        <v>0</v>
      </c>
      <c r="DE86" s="3">
        <v>0</v>
      </c>
      <c r="DF86" s="3">
        <v>0</v>
      </c>
      <c r="DG86" s="3">
        <v>0</v>
      </c>
      <c r="DH86" s="3">
        <v>0</v>
      </c>
      <c r="DI86" s="3">
        <v>0</v>
      </c>
      <c r="DJ86" s="3">
        <v>0</v>
      </c>
      <c r="DK86" s="3">
        <v>0</v>
      </c>
      <c r="DL86" s="3">
        <v>0</v>
      </c>
      <c r="DM86" s="3">
        <v>0</v>
      </c>
      <c r="DN86" s="3">
        <v>0</v>
      </c>
      <c r="DO86" s="3">
        <v>0</v>
      </c>
      <c r="DP86" s="3">
        <v>0</v>
      </c>
      <c r="DQ86" s="3">
        <v>0</v>
      </c>
      <c r="DR86" s="3">
        <v>0</v>
      </c>
      <c r="DS86" s="3">
        <v>0</v>
      </c>
      <c r="DT86" s="3">
        <v>0</v>
      </c>
      <c r="DU86" s="3">
        <v>0</v>
      </c>
      <c r="DV86" s="3">
        <v>0</v>
      </c>
      <c r="DW86" s="3">
        <v>0</v>
      </c>
      <c r="DX86" s="3">
        <v>0</v>
      </c>
      <c r="DY86" s="3">
        <v>0</v>
      </c>
      <c r="DZ86" s="3">
        <v>0</v>
      </c>
      <c r="EA86" s="3">
        <v>0</v>
      </c>
      <c r="EB86" s="3">
        <v>0</v>
      </c>
      <c r="EC86" s="3">
        <v>0</v>
      </c>
      <c r="ED86" s="3">
        <v>0</v>
      </c>
      <c r="EE86" s="3">
        <v>0</v>
      </c>
      <c r="EF86" s="3">
        <v>0</v>
      </c>
      <c r="EG86" s="3">
        <v>0</v>
      </c>
      <c r="EH86" s="3">
        <v>0</v>
      </c>
      <c r="EI86" s="3">
        <v>0</v>
      </c>
      <c r="EJ86" s="3">
        <v>0</v>
      </c>
      <c r="EK86" s="3">
        <v>0</v>
      </c>
      <c r="EL86" s="3">
        <v>0</v>
      </c>
      <c r="EM86" s="3">
        <v>0</v>
      </c>
      <c r="EN86" s="3">
        <v>0</v>
      </c>
      <c r="EO86" s="3">
        <v>0</v>
      </c>
      <c r="EP86" s="3">
        <v>0</v>
      </c>
      <c r="EQ86" s="3">
        <v>0</v>
      </c>
      <c r="ER86" s="3">
        <v>0</v>
      </c>
      <c r="ES86" s="3">
        <v>0</v>
      </c>
      <c r="ET86" s="3">
        <v>0</v>
      </c>
      <c r="EU86" s="3">
        <v>0</v>
      </c>
      <c r="EV86" s="3">
        <v>0</v>
      </c>
      <c r="EW86" s="3">
        <v>0</v>
      </c>
      <c r="EX86" s="3">
        <v>0</v>
      </c>
      <c r="EY86" s="3">
        <v>0</v>
      </c>
      <c r="EZ86" s="3">
        <v>0</v>
      </c>
      <c r="FA86" s="3">
        <v>0</v>
      </c>
      <c r="FB86" s="3">
        <v>0</v>
      </c>
      <c r="FC86" s="3">
        <v>0</v>
      </c>
      <c r="FD86" s="3">
        <v>0</v>
      </c>
      <c r="FE86" s="3">
        <v>0</v>
      </c>
      <c r="FF86" s="3">
        <v>0</v>
      </c>
      <c r="FG86" s="3">
        <v>0</v>
      </c>
      <c r="FH86" s="3">
        <v>0</v>
      </c>
      <c r="FI86" s="3">
        <v>0</v>
      </c>
      <c r="FJ86" s="3">
        <v>0</v>
      </c>
      <c r="FK86" s="3">
        <v>0</v>
      </c>
      <c r="FL86" s="3">
        <v>0</v>
      </c>
      <c r="FM86" s="3">
        <v>0</v>
      </c>
      <c r="FN86" s="3">
        <v>0</v>
      </c>
      <c r="FO86" s="3">
        <v>0</v>
      </c>
      <c r="FP86" s="3">
        <v>0</v>
      </c>
      <c r="FQ86" s="3">
        <v>0</v>
      </c>
      <c r="FR86" s="3">
        <v>0</v>
      </c>
      <c r="FS86" s="3">
        <v>0</v>
      </c>
      <c r="FT86" s="3">
        <v>0</v>
      </c>
      <c r="FU86" s="3">
        <v>0</v>
      </c>
      <c r="FV86" s="3">
        <v>0</v>
      </c>
      <c r="FW86" s="3">
        <v>0</v>
      </c>
      <c r="FX86" s="3">
        <v>0</v>
      </c>
      <c r="FY86" s="3">
        <v>0</v>
      </c>
      <c r="FZ86" s="3">
        <v>0</v>
      </c>
      <c r="GA86" s="3">
        <v>0</v>
      </c>
      <c r="GB86" s="3">
        <v>0</v>
      </c>
      <c r="GC86" s="3">
        <v>0</v>
      </c>
      <c r="GD86" s="3">
        <v>0</v>
      </c>
      <c r="GE86" s="3">
        <v>0</v>
      </c>
      <c r="GF86" s="3">
        <v>0</v>
      </c>
      <c r="GG86" s="3">
        <v>0</v>
      </c>
      <c r="GH86" s="3">
        <v>0</v>
      </c>
      <c r="GI86" s="3">
        <v>0</v>
      </c>
      <c r="GJ86" s="3">
        <v>0</v>
      </c>
      <c r="GK86" s="3">
        <v>0</v>
      </c>
      <c r="GL86" s="3">
        <v>0</v>
      </c>
      <c r="GM86" s="3">
        <v>0</v>
      </c>
      <c r="GN86" s="3">
        <v>0</v>
      </c>
      <c r="GO86" s="3">
        <v>0</v>
      </c>
      <c r="GP86" s="3">
        <v>0</v>
      </c>
      <c r="GQ86" s="3">
        <v>0</v>
      </c>
      <c r="GR86" s="3">
        <v>0</v>
      </c>
      <c r="GS86" s="3">
        <v>0</v>
      </c>
      <c r="GT86" s="3">
        <v>0</v>
      </c>
      <c r="GU86" s="3">
        <v>0</v>
      </c>
      <c r="GV86" s="3">
        <v>0</v>
      </c>
      <c r="GW86" s="3">
        <v>0</v>
      </c>
      <c r="GX86" s="3">
        <v>0</v>
      </c>
      <c r="GY86" s="3">
        <v>0</v>
      </c>
      <c r="GZ86" s="3">
        <v>0</v>
      </c>
      <c r="HA86" s="3">
        <v>0</v>
      </c>
      <c r="HB86" s="3">
        <v>0</v>
      </c>
      <c r="HC86" s="3">
        <v>0</v>
      </c>
      <c r="HD86" s="3">
        <v>0</v>
      </c>
      <c r="HE86" s="3">
        <v>0</v>
      </c>
      <c r="HF86" s="3">
        <v>0</v>
      </c>
      <c r="HG86" s="3">
        <v>0</v>
      </c>
      <c r="HH86" s="3">
        <v>0</v>
      </c>
      <c r="HI86" s="3">
        <v>0</v>
      </c>
      <c r="HJ86" s="3">
        <v>0</v>
      </c>
      <c r="HK86" s="3">
        <v>0</v>
      </c>
      <c r="HL86" s="3">
        <v>0</v>
      </c>
      <c r="HM86" s="3">
        <v>0</v>
      </c>
      <c r="HN86" s="3">
        <v>0</v>
      </c>
      <c r="HO86" s="3">
        <v>0</v>
      </c>
      <c r="HP86" s="3">
        <v>0</v>
      </c>
      <c r="HQ86" s="3">
        <v>0</v>
      </c>
      <c r="HR86" s="3">
        <v>0</v>
      </c>
      <c r="HS86" s="3">
        <v>0</v>
      </c>
      <c r="HT86" s="3">
        <v>0</v>
      </c>
      <c r="HU86" s="3">
        <v>0</v>
      </c>
      <c r="HV86" s="3">
        <v>0</v>
      </c>
      <c r="HW86" s="3">
        <v>0</v>
      </c>
      <c r="HX86" s="3">
        <v>0</v>
      </c>
      <c r="HY86" s="3">
        <v>0</v>
      </c>
      <c r="HZ86" s="3">
        <v>0</v>
      </c>
      <c r="IA86" s="3">
        <v>0</v>
      </c>
      <c r="IB86" s="3">
        <v>0</v>
      </c>
      <c r="IC86" s="3">
        <v>0</v>
      </c>
      <c r="ID86" s="3">
        <v>0</v>
      </c>
      <c r="IE86" s="3">
        <v>0</v>
      </c>
      <c r="IF86" s="3">
        <v>0</v>
      </c>
      <c r="IG86" s="3">
        <v>0</v>
      </c>
      <c r="IH86" s="3">
        <v>0</v>
      </c>
      <c r="II86" s="3">
        <v>0</v>
      </c>
      <c r="IJ86" s="3">
        <v>0</v>
      </c>
      <c r="IK86" s="3">
        <v>0</v>
      </c>
      <c r="IL86" s="3">
        <v>0</v>
      </c>
      <c r="IM86" s="3">
        <v>0</v>
      </c>
      <c r="IN86" s="3">
        <v>0</v>
      </c>
      <c r="IO86" s="3">
        <v>0</v>
      </c>
      <c r="IP86" s="3">
        <v>0</v>
      </c>
      <c r="IQ86" s="3">
        <v>0</v>
      </c>
      <c r="IR86" s="3">
        <v>0</v>
      </c>
      <c r="IS86" s="3">
        <v>0</v>
      </c>
      <c r="IT86" s="3">
        <v>0</v>
      </c>
      <c r="IU86" s="3">
        <v>0</v>
      </c>
      <c r="IV86" s="3">
        <v>0</v>
      </c>
      <c r="IW86" s="3">
        <v>0</v>
      </c>
      <c r="IX86" s="3">
        <v>0</v>
      </c>
      <c r="IY86" s="3">
        <v>0</v>
      </c>
      <c r="IZ86" s="3">
        <v>0</v>
      </c>
      <c r="JA86" s="3">
        <v>0</v>
      </c>
      <c r="JB86" s="3">
        <v>0</v>
      </c>
      <c r="JC86" s="3">
        <v>0</v>
      </c>
      <c r="JD86" s="3">
        <v>0</v>
      </c>
      <c r="JE86" s="3">
        <v>0</v>
      </c>
      <c r="JF86" s="3">
        <v>0</v>
      </c>
      <c r="JG86" s="3">
        <v>0</v>
      </c>
      <c r="JH86" s="3">
        <v>0</v>
      </c>
      <c r="JI86" s="3">
        <v>0</v>
      </c>
      <c r="JJ86" s="3">
        <v>0</v>
      </c>
      <c r="JK86" s="3">
        <v>0</v>
      </c>
      <c r="JL86" s="3">
        <v>0</v>
      </c>
      <c r="JM86" s="3">
        <v>0</v>
      </c>
      <c r="JN86" s="3">
        <v>0</v>
      </c>
      <c r="JO86" s="3">
        <v>0</v>
      </c>
      <c r="JP86" s="3">
        <v>0</v>
      </c>
      <c r="JQ86" s="3">
        <v>0</v>
      </c>
      <c r="JR86" s="3">
        <v>0</v>
      </c>
      <c r="JS86" s="3">
        <v>0</v>
      </c>
      <c r="JT86" s="3">
        <v>0</v>
      </c>
      <c r="JU86" s="3">
        <v>0</v>
      </c>
      <c r="JV86" s="3">
        <v>0</v>
      </c>
      <c r="JW86" s="3">
        <v>0</v>
      </c>
      <c r="JX86" s="3">
        <v>0</v>
      </c>
      <c r="JY86" s="3">
        <v>0</v>
      </c>
      <c r="JZ86" s="3">
        <v>0</v>
      </c>
      <c r="KA86" s="3">
        <v>0</v>
      </c>
      <c r="KB86" s="3">
        <v>0</v>
      </c>
      <c r="KC86" s="3">
        <v>0</v>
      </c>
      <c r="KD86" s="3">
        <v>0</v>
      </c>
      <c r="KE86" s="3">
        <v>0</v>
      </c>
      <c r="KF86" s="3">
        <v>0</v>
      </c>
      <c r="KG86" s="3">
        <v>0</v>
      </c>
      <c r="KH86" s="3">
        <v>0</v>
      </c>
      <c r="KI86" s="3">
        <v>0</v>
      </c>
      <c r="KJ86" s="3">
        <v>0</v>
      </c>
      <c r="KK86" s="3">
        <v>0</v>
      </c>
      <c r="KL86" s="3">
        <v>0</v>
      </c>
      <c r="KM86" s="3">
        <v>0</v>
      </c>
      <c r="KN86" s="3">
        <v>0</v>
      </c>
      <c r="KO86" s="3">
        <v>0</v>
      </c>
      <c r="KP86" s="3">
        <v>0</v>
      </c>
      <c r="KQ86" s="3">
        <v>0</v>
      </c>
      <c r="KR86" s="3">
        <v>0</v>
      </c>
      <c r="KS86" s="3">
        <v>0</v>
      </c>
      <c r="KT86" s="3">
        <v>0</v>
      </c>
      <c r="KU86" s="3">
        <v>0</v>
      </c>
      <c r="KV86" s="3">
        <v>0</v>
      </c>
      <c r="KW86" s="3">
        <v>0</v>
      </c>
      <c r="KX86" s="3">
        <v>0</v>
      </c>
      <c r="KY86" s="3">
        <v>0</v>
      </c>
      <c r="KZ86" s="3">
        <v>0</v>
      </c>
      <c r="LA86" s="3">
        <v>0</v>
      </c>
      <c r="LB86" s="3">
        <v>0</v>
      </c>
      <c r="LC86" s="3">
        <v>0</v>
      </c>
      <c r="LD86" s="3">
        <v>0</v>
      </c>
      <c r="LE86" s="3">
        <v>0</v>
      </c>
      <c r="LF86" s="3">
        <v>0</v>
      </c>
      <c r="LG86" s="3">
        <v>0</v>
      </c>
      <c r="LH86" s="3">
        <v>0</v>
      </c>
      <c r="LI86" s="3">
        <v>0</v>
      </c>
      <c r="LJ86" s="3">
        <v>0</v>
      </c>
      <c r="LK86" s="3">
        <v>0</v>
      </c>
      <c r="LL86" s="3">
        <v>0</v>
      </c>
      <c r="LM86" s="3">
        <v>0</v>
      </c>
      <c r="LN86" s="3">
        <v>0</v>
      </c>
      <c r="LO86" s="3">
        <v>0</v>
      </c>
      <c r="LP86" s="3">
        <v>0</v>
      </c>
      <c r="LQ86" s="3">
        <v>0</v>
      </c>
      <c r="LR86" s="3">
        <v>0</v>
      </c>
      <c r="LS86" s="3">
        <v>0</v>
      </c>
      <c r="LT86" s="3">
        <v>0</v>
      </c>
      <c r="LU86" s="3">
        <v>0</v>
      </c>
      <c r="LV86" s="3">
        <v>0</v>
      </c>
      <c r="LW86" s="3">
        <v>0</v>
      </c>
      <c r="LX86" s="3">
        <v>1.25</v>
      </c>
      <c r="LY86" s="3">
        <v>1.25</v>
      </c>
      <c r="LZ86" s="3">
        <v>1.25</v>
      </c>
      <c r="MA86" s="3">
        <v>1.25</v>
      </c>
      <c r="MB86" s="3">
        <v>1.25</v>
      </c>
      <c r="MC86" s="3">
        <v>1.25</v>
      </c>
      <c r="MD86" s="3">
        <v>1.25</v>
      </c>
      <c r="ME86" s="3">
        <v>1.25</v>
      </c>
      <c r="MF86" s="3">
        <v>1.25</v>
      </c>
      <c r="MG86" s="3">
        <v>1.25</v>
      </c>
      <c r="MH86" s="3">
        <v>1.25</v>
      </c>
      <c r="MI86" s="3">
        <v>1.25</v>
      </c>
      <c r="MJ86" s="3">
        <v>1.25</v>
      </c>
      <c r="MK86" s="3">
        <v>1.25</v>
      </c>
      <c r="ML86" s="3">
        <v>1.25</v>
      </c>
      <c r="MM86" s="3">
        <v>1.25</v>
      </c>
      <c r="MN86" s="3">
        <v>1.25</v>
      </c>
      <c r="MO86" s="3">
        <v>1.25</v>
      </c>
      <c r="MP86" s="3">
        <v>1.25</v>
      </c>
      <c r="MQ86" s="3">
        <v>1.25</v>
      </c>
      <c r="MR86" s="3">
        <v>1.25</v>
      </c>
      <c r="MS86" s="3">
        <v>1.25</v>
      </c>
    </row>
    <row r="87" spans="1:357" x14ac:dyDescent="0.35">
      <c r="A87" s="27"/>
      <c r="C87" t="s">
        <v>318</v>
      </c>
      <c r="E87" s="6">
        <v>6</v>
      </c>
      <c r="F87" s="6">
        <v>5</v>
      </c>
      <c r="G87" s="6">
        <v>2</v>
      </c>
      <c r="H87" s="6">
        <v>2</v>
      </c>
      <c r="I87" s="6">
        <v>1</v>
      </c>
      <c r="J87" s="6">
        <v>2</v>
      </c>
      <c r="K87" s="6">
        <v>3</v>
      </c>
      <c r="L87" s="6">
        <v>14</v>
      </c>
      <c r="M87" s="6">
        <v>1</v>
      </c>
      <c r="N87" s="6">
        <v>14</v>
      </c>
      <c r="O87" s="6">
        <v>5</v>
      </c>
      <c r="P87" s="6">
        <v>5</v>
      </c>
      <c r="Q87" s="6">
        <v>5</v>
      </c>
      <c r="R87" s="6">
        <v>5</v>
      </c>
      <c r="S87" s="6">
        <v>18</v>
      </c>
      <c r="T87" s="6">
        <v>18</v>
      </c>
      <c r="U87" s="6">
        <v>18</v>
      </c>
      <c r="V87" s="6">
        <v>18</v>
      </c>
      <c r="W87" s="6">
        <v>3</v>
      </c>
      <c r="X87" s="6">
        <v>2</v>
      </c>
      <c r="Y87" s="6">
        <v>4</v>
      </c>
      <c r="Z87" s="6">
        <v>6</v>
      </c>
      <c r="AA87" s="6">
        <v>4</v>
      </c>
      <c r="AB87" s="6">
        <v>20</v>
      </c>
      <c r="AC87" s="6">
        <v>20</v>
      </c>
      <c r="AD87" s="6">
        <v>20</v>
      </c>
      <c r="AE87" s="6">
        <v>7</v>
      </c>
      <c r="AF87" s="6">
        <v>5</v>
      </c>
      <c r="AG87" s="6">
        <v>4</v>
      </c>
      <c r="AH87" s="6">
        <v>22</v>
      </c>
      <c r="AI87" s="6">
        <v>22</v>
      </c>
      <c r="AJ87" s="6">
        <v>4</v>
      </c>
      <c r="AK87" s="6">
        <v>4</v>
      </c>
      <c r="AL87" s="6">
        <v>3</v>
      </c>
      <c r="AM87" s="6">
        <v>4</v>
      </c>
      <c r="AN87" s="6">
        <v>4</v>
      </c>
      <c r="AO87" s="6">
        <v>4</v>
      </c>
      <c r="AP87" s="6">
        <v>22</v>
      </c>
      <c r="AQ87" s="6">
        <v>1</v>
      </c>
      <c r="AR87" s="6">
        <v>1</v>
      </c>
      <c r="AS87" s="6">
        <v>1</v>
      </c>
      <c r="AT87" s="6">
        <v>1</v>
      </c>
      <c r="AU87" s="6">
        <v>3</v>
      </c>
      <c r="AV87" s="6">
        <v>3</v>
      </c>
      <c r="AW87" s="6">
        <v>3</v>
      </c>
      <c r="AX87" s="6">
        <v>22</v>
      </c>
      <c r="AY87" s="6">
        <v>22</v>
      </c>
      <c r="AZ87" s="6">
        <v>5</v>
      </c>
      <c r="BA87" s="6">
        <v>4</v>
      </c>
      <c r="BB87" s="6">
        <v>14</v>
      </c>
      <c r="BC87" s="6">
        <v>10</v>
      </c>
      <c r="BD87" s="6">
        <v>10</v>
      </c>
      <c r="BE87" s="6">
        <v>2</v>
      </c>
      <c r="BF87" s="6">
        <v>9</v>
      </c>
      <c r="BG87" s="6">
        <v>8</v>
      </c>
      <c r="BH87" s="6">
        <v>7</v>
      </c>
      <c r="BI87" s="6">
        <v>2</v>
      </c>
      <c r="BJ87" s="6">
        <v>2</v>
      </c>
      <c r="BK87" s="6">
        <v>12</v>
      </c>
      <c r="BL87" s="6">
        <v>7</v>
      </c>
      <c r="BM87" s="6">
        <v>25</v>
      </c>
      <c r="BN87" s="6">
        <v>4</v>
      </c>
      <c r="BO87" s="6">
        <v>3</v>
      </c>
      <c r="BP87" s="6">
        <v>3</v>
      </c>
      <c r="BQ87" s="6">
        <v>25</v>
      </c>
      <c r="BR87" s="6">
        <v>1</v>
      </c>
      <c r="BS87" s="6">
        <v>1</v>
      </c>
      <c r="BT87" s="6">
        <v>2</v>
      </c>
      <c r="BU87" s="6">
        <v>2</v>
      </c>
      <c r="BV87" s="6">
        <v>2</v>
      </c>
      <c r="BW87" s="6">
        <v>2</v>
      </c>
      <c r="BX87" s="6">
        <v>1</v>
      </c>
      <c r="BY87" s="6">
        <v>2</v>
      </c>
      <c r="BZ87" s="6">
        <v>2</v>
      </c>
      <c r="CA87" s="6">
        <v>1</v>
      </c>
      <c r="CB87" s="6">
        <v>1</v>
      </c>
      <c r="CC87" s="6">
        <v>1</v>
      </c>
      <c r="CD87" s="6">
        <v>25</v>
      </c>
      <c r="CE87" s="6">
        <v>1</v>
      </c>
      <c r="CF87" s="6">
        <v>2</v>
      </c>
      <c r="CG87" s="6">
        <v>2</v>
      </c>
      <c r="CH87" s="6">
        <v>2</v>
      </c>
      <c r="CI87" s="6">
        <v>5</v>
      </c>
      <c r="CJ87" s="6">
        <v>30</v>
      </c>
      <c r="CK87" s="6">
        <v>15</v>
      </c>
      <c r="CL87" s="6">
        <v>4</v>
      </c>
      <c r="CM87" s="6">
        <v>4</v>
      </c>
      <c r="CN87" s="6">
        <v>3</v>
      </c>
      <c r="CO87" s="6">
        <v>6</v>
      </c>
      <c r="CP87" s="6">
        <v>6</v>
      </c>
      <c r="CQ87" s="6">
        <v>25</v>
      </c>
      <c r="CR87" s="6">
        <v>25</v>
      </c>
      <c r="CS87" s="6">
        <v>6</v>
      </c>
      <c r="CT87" s="6">
        <v>6</v>
      </c>
      <c r="CU87" s="6">
        <v>3</v>
      </c>
      <c r="CV87" s="6">
        <v>6</v>
      </c>
      <c r="CW87" s="6">
        <v>6</v>
      </c>
      <c r="CX87" s="6">
        <v>5</v>
      </c>
      <c r="CY87" s="6">
        <v>5</v>
      </c>
      <c r="CZ87" s="6">
        <v>5</v>
      </c>
      <c r="DA87" s="6">
        <v>1</v>
      </c>
      <c r="DB87" s="6">
        <v>25</v>
      </c>
      <c r="DC87" s="6">
        <v>1</v>
      </c>
      <c r="DD87" s="6">
        <v>5</v>
      </c>
      <c r="DE87" s="6">
        <v>5</v>
      </c>
      <c r="DF87" s="6">
        <v>2</v>
      </c>
      <c r="DG87" s="6">
        <v>2</v>
      </c>
      <c r="DH87" s="6">
        <v>34</v>
      </c>
      <c r="DI87" s="6">
        <v>34</v>
      </c>
      <c r="DJ87" s="6">
        <v>2</v>
      </c>
      <c r="DK87" s="6">
        <v>-3</v>
      </c>
      <c r="DL87" s="6">
        <v>3</v>
      </c>
      <c r="DM87" s="6">
        <v>3</v>
      </c>
      <c r="DN87" s="6">
        <v>3</v>
      </c>
      <c r="DO87" s="6">
        <v>25</v>
      </c>
      <c r="DP87" s="6">
        <v>25</v>
      </c>
      <c r="DQ87" s="6">
        <v>4</v>
      </c>
      <c r="DR87" s="6">
        <v>3</v>
      </c>
      <c r="DS87" s="6">
        <v>3</v>
      </c>
      <c r="DT87" s="6">
        <v>5</v>
      </c>
      <c r="DU87" s="6">
        <v>2</v>
      </c>
      <c r="DV87" s="6">
        <v>30</v>
      </c>
      <c r="DW87" s="6">
        <v>2</v>
      </c>
      <c r="DX87" s="6">
        <v>2</v>
      </c>
      <c r="DY87" s="6">
        <v>2</v>
      </c>
      <c r="DZ87" s="6">
        <v>2</v>
      </c>
      <c r="EA87" s="6">
        <v>3</v>
      </c>
      <c r="EB87" s="6">
        <v>2</v>
      </c>
      <c r="EC87" s="6">
        <v>2</v>
      </c>
      <c r="ED87" s="6">
        <v>2</v>
      </c>
      <c r="EE87" s="6">
        <v>2</v>
      </c>
      <c r="EF87" s="6">
        <v>2</v>
      </c>
      <c r="EG87" s="6">
        <v>5</v>
      </c>
      <c r="EH87" s="6">
        <v>2</v>
      </c>
      <c r="EI87" s="6">
        <v>2</v>
      </c>
      <c r="EJ87" s="6">
        <v>12</v>
      </c>
      <c r="EK87" s="6">
        <v>2</v>
      </c>
      <c r="EL87" s="6">
        <v>12</v>
      </c>
      <c r="EM87" s="6">
        <v>1</v>
      </c>
      <c r="EN87" s="6">
        <v>8</v>
      </c>
      <c r="EO87" s="6">
        <v>3</v>
      </c>
      <c r="EP87" s="6">
        <v>3</v>
      </c>
      <c r="EQ87" s="6">
        <v>2</v>
      </c>
      <c r="ER87" s="6">
        <v>3</v>
      </c>
      <c r="ES87" s="6">
        <v>3</v>
      </c>
      <c r="ET87" s="6">
        <v>5</v>
      </c>
      <c r="EU87" s="6">
        <v>2</v>
      </c>
      <c r="EV87" s="6">
        <v>5</v>
      </c>
      <c r="EW87" s="6">
        <v>2</v>
      </c>
      <c r="EX87" s="6">
        <v>2</v>
      </c>
      <c r="EY87" s="6">
        <v>30</v>
      </c>
      <c r="EZ87" s="6">
        <v>3</v>
      </c>
      <c r="FA87" s="6">
        <v>2</v>
      </c>
      <c r="FB87" s="6">
        <v>20</v>
      </c>
      <c r="FC87" s="6">
        <v>3</v>
      </c>
      <c r="FD87" s="6">
        <v>3</v>
      </c>
      <c r="FE87" s="6">
        <v>3</v>
      </c>
      <c r="FF87" s="6">
        <v>3</v>
      </c>
      <c r="FG87" s="6">
        <v>4</v>
      </c>
      <c r="FH87" s="6">
        <v>3</v>
      </c>
      <c r="FI87" s="6">
        <v>4</v>
      </c>
      <c r="FJ87" s="6">
        <v>4</v>
      </c>
      <c r="FK87" s="6">
        <v>9</v>
      </c>
      <c r="FL87" s="6">
        <v>12.5</v>
      </c>
      <c r="FM87" s="6">
        <v>5</v>
      </c>
      <c r="FN87" s="6">
        <v>4</v>
      </c>
      <c r="FO87" s="6">
        <v>17</v>
      </c>
      <c r="FP87" s="6">
        <v>17</v>
      </c>
      <c r="FQ87" s="6">
        <v>4</v>
      </c>
      <c r="FR87" s="6">
        <v>4</v>
      </c>
      <c r="FS87" s="6">
        <v>5</v>
      </c>
      <c r="FT87" s="6">
        <v>4</v>
      </c>
      <c r="FU87" s="6">
        <v>1</v>
      </c>
      <c r="FV87" s="6">
        <v>10</v>
      </c>
      <c r="FW87" s="6">
        <v>2</v>
      </c>
      <c r="FX87" s="6">
        <v>2</v>
      </c>
      <c r="FY87" s="6">
        <v>3</v>
      </c>
      <c r="FZ87" s="6">
        <v>2</v>
      </c>
      <c r="GA87" s="6">
        <v>3</v>
      </c>
      <c r="GB87" s="6">
        <v>2</v>
      </c>
      <c r="GC87" s="6">
        <v>2</v>
      </c>
      <c r="GD87" s="6">
        <v>3</v>
      </c>
      <c r="GE87" s="6">
        <v>3</v>
      </c>
      <c r="GF87" s="6">
        <v>3</v>
      </c>
      <c r="GG87" s="6">
        <v>2</v>
      </c>
      <c r="GH87" s="6">
        <v>3</v>
      </c>
      <c r="GI87" s="6">
        <v>40</v>
      </c>
      <c r="GJ87" s="6">
        <v>40</v>
      </c>
      <c r="GK87" s="6">
        <v>40</v>
      </c>
      <c r="GL87" s="6">
        <v>45</v>
      </c>
      <c r="GM87" s="6">
        <v>6</v>
      </c>
      <c r="GN87" s="6">
        <v>5</v>
      </c>
      <c r="GO87" s="6">
        <v>7</v>
      </c>
      <c r="GP87" s="6">
        <v>4</v>
      </c>
      <c r="GQ87" s="6">
        <v>2</v>
      </c>
      <c r="GR87" s="6">
        <v>2</v>
      </c>
      <c r="GS87" s="6">
        <v>3</v>
      </c>
      <c r="GT87" s="6">
        <v>1</v>
      </c>
      <c r="GU87" s="6">
        <v>4</v>
      </c>
      <c r="GV87" s="6">
        <v>3</v>
      </c>
      <c r="GW87" s="6">
        <v>1</v>
      </c>
      <c r="GX87" s="6">
        <v>3</v>
      </c>
      <c r="GY87" s="6">
        <v>1</v>
      </c>
      <c r="GZ87" s="6">
        <v>1</v>
      </c>
      <c r="HA87" s="6">
        <v>25</v>
      </c>
      <c r="HB87" s="6">
        <v>50</v>
      </c>
      <c r="HC87" s="6">
        <v>50</v>
      </c>
      <c r="HD87" s="6">
        <v>12</v>
      </c>
      <c r="HE87" s="6">
        <v>3</v>
      </c>
      <c r="HF87" s="6">
        <v>15</v>
      </c>
      <c r="HG87" s="6">
        <v>3</v>
      </c>
      <c r="HH87" s="6">
        <v>2</v>
      </c>
      <c r="HI87" s="6">
        <v>1</v>
      </c>
      <c r="HJ87" s="6">
        <v>1</v>
      </c>
      <c r="HK87" s="6">
        <v>1</v>
      </c>
      <c r="HL87" s="6">
        <v>2</v>
      </c>
      <c r="HM87" s="6">
        <v>8</v>
      </c>
      <c r="HN87" s="6">
        <v>4</v>
      </c>
      <c r="HO87" s="6">
        <v>4</v>
      </c>
      <c r="HP87" s="6">
        <v>5</v>
      </c>
      <c r="HQ87" s="6">
        <v>12</v>
      </c>
      <c r="HR87" s="6">
        <v>12</v>
      </c>
      <c r="HS87" s="6">
        <v>2</v>
      </c>
      <c r="HT87" s="6">
        <v>2</v>
      </c>
      <c r="HU87" s="6">
        <v>4</v>
      </c>
      <c r="HV87" s="6">
        <v>8</v>
      </c>
      <c r="HW87" s="6">
        <v>8</v>
      </c>
      <c r="HX87" s="6">
        <v>3</v>
      </c>
      <c r="HY87" s="6">
        <v>3</v>
      </c>
      <c r="HZ87" s="6">
        <v>2</v>
      </c>
      <c r="IA87" s="6">
        <v>1</v>
      </c>
      <c r="IB87" s="6">
        <v>2</v>
      </c>
      <c r="IC87" s="6">
        <v>3</v>
      </c>
      <c r="ID87" s="6">
        <v>5</v>
      </c>
      <c r="IE87" s="6">
        <v>8</v>
      </c>
      <c r="IF87" s="6">
        <v>6</v>
      </c>
      <c r="IG87" s="6">
        <v>12</v>
      </c>
      <c r="IH87" s="6">
        <v>2</v>
      </c>
      <c r="II87" s="6">
        <v>2</v>
      </c>
      <c r="IJ87" s="6">
        <v>11</v>
      </c>
      <c r="IK87" s="6">
        <v>4</v>
      </c>
      <c r="IL87" s="6">
        <v>1</v>
      </c>
      <c r="IM87" s="6">
        <v>1</v>
      </c>
      <c r="IN87" s="6">
        <v>8</v>
      </c>
      <c r="IO87" s="6">
        <v>3</v>
      </c>
      <c r="IP87" s="6">
        <v>1</v>
      </c>
      <c r="IQ87" s="6">
        <v>3</v>
      </c>
      <c r="IR87" s="6">
        <v>3</v>
      </c>
      <c r="IS87" s="6">
        <v>6</v>
      </c>
      <c r="IT87" s="6">
        <v>8</v>
      </c>
      <c r="IU87" s="6">
        <v>8</v>
      </c>
      <c r="IV87" s="6">
        <v>8</v>
      </c>
      <c r="IW87" s="6">
        <v>2</v>
      </c>
      <c r="IX87" s="6">
        <v>2</v>
      </c>
      <c r="IY87" s="6">
        <v>2</v>
      </c>
      <c r="IZ87" s="6">
        <v>8</v>
      </c>
      <c r="JA87" s="6">
        <v>8</v>
      </c>
      <c r="JB87" s="6">
        <v>8</v>
      </c>
      <c r="JC87" s="6">
        <v>6</v>
      </c>
      <c r="JD87" s="6">
        <v>6</v>
      </c>
      <c r="JE87" s="6">
        <v>2</v>
      </c>
      <c r="JF87" s="6">
        <v>1</v>
      </c>
      <c r="JG87" s="6">
        <v>2</v>
      </c>
      <c r="JH87" s="6">
        <v>1</v>
      </c>
      <c r="JI87" s="6">
        <v>3</v>
      </c>
      <c r="JJ87" s="6">
        <v>4</v>
      </c>
      <c r="JK87" s="6">
        <v>8</v>
      </c>
      <c r="JL87" s="6">
        <v>3</v>
      </c>
      <c r="JM87" s="6">
        <v>12</v>
      </c>
      <c r="JN87" s="6">
        <v>25</v>
      </c>
      <c r="JO87" s="6">
        <v>4</v>
      </c>
      <c r="JP87" s="6">
        <v>16</v>
      </c>
      <c r="JQ87" s="6">
        <v>12</v>
      </c>
      <c r="JR87" s="6">
        <v>2</v>
      </c>
      <c r="JS87" s="6">
        <v>2</v>
      </c>
      <c r="JT87" s="6">
        <v>5</v>
      </c>
      <c r="JU87" s="6">
        <v>16</v>
      </c>
      <c r="JV87" s="6">
        <v>2</v>
      </c>
      <c r="JW87" s="6">
        <v>2</v>
      </c>
      <c r="JX87" s="6">
        <v>8</v>
      </c>
      <c r="JY87" s="6">
        <v>1</v>
      </c>
      <c r="JZ87" s="6">
        <v>1</v>
      </c>
      <c r="KA87" s="6">
        <v>4</v>
      </c>
      <c r="KB87" s="6">
        <v>2</v>
      </c>
      <c r="KC87" s="6">
        <v>1</v>
      </c>
      <c r="KD87" s="6">
        <v>6</v>
      </c>
      <c r="KE87" s="6">
        <v>16</v>
      </c>
      <c r="KF87" s="6">
        <v>2</v>
      </c>
      <c r="KG87" s="6">
        <v>1</v>
      </c>
      <c r="KH87" s="6">
        <v>16</v>
      </c>
      <c r="KI87" s="6">
        <v>8</v>
      </c>
      <c r="KJ87" s="6">
        <v>1</v>
      </c>
      <c r="KK87" s="6">
        <v>1</v>
      </c>
      <c r="KL87" s="6">
        <v>1</v>
      </c>
      <c r="KM87" s="6">
        <v>1</v>
      </c>
      <c r="KN87" s="6">
        <v>1</v>
      </c>
      <c r="KO87" s="6">
        <v>4</v>
      </c>
      <c r="KP87" s="6">
        <v>1</v>
      </c>
      <c r="KQ87" s="6">
        <v>1</v>
      </c>
      <c r="KR87" s="6">
        <v>-1</v>
      </c>
      <c r="KS87" s="6">
        <v>-1</v>
      </c>
      <c r="KT87" s="6">
        <v>25</v>
      </c>
      <c r="KU87" s="6">
        <v>1</v>
      </c>
      <c r="KV87" s="6">
        <v>17</v>
      </c>
      <c r="KW87" s="6">
        <v>4</v>
      </c>
      <c r="KX87" s="6">
        <v>25</v>
      </c>
      <c r="KY87" s="6">
        <v>-1</v>
      </c>
      <c r="KZ87" s="6">
        <v>-1</v>
      </c>
      <c r="LA87" s="6">
        <v>20</v>
      </c>
      <c r="LB87" s="6">
        <v>-1</v>
      </c>
      <c r="LC87" s="6">
        <v>30</v>
      </c>
      <c r="LD87" s="6">
        <v>12</v>
      </c>
      <c r="LE87" s="6">
        <v>3</v>
      </c>
      <c r="LF87" s="6">
        <v>6</v>
      </c>
      <c r="LG87" s="6">
        <v>14</v>
      </c>
      <c r="LH87" s="6">
        <v>14</v>
      </c>
      <c r="LI87" s="6">
        <v>4</v>
      </c>
      <c r="LJ87" s="6">
        <v>6</v>
      </c>
      <c r="LK87" s="6">
        <v>1</v>
      </c>
      <c r="LL87" s="6">
        <v>8</v>
      </c>
      <c r="LM87" s="6">
        <v>32</v>
      </c>
      <c r="LN87" s="6">
        <v>8</v>
      </c>
      <c r="LO87" s="6">
        <v>8</v>
      </c>
      <c r="LP87" s="6">
        <v>4</v>
      </c>
      <c r="LQ87" s="6">
        <v>2</v>
      </c>
      <c r="LR87" s="6">
        <v>4</v>
      </c>
      <c r="LS87" s="6">
        <v>4</v>
      </c>
      <c r="LT87" s="6">
        <v>12</v>
      </c>
      <c r="LU87" s="6">
        <v>3</v>
      </c>
      <c r="LV87" s="6">
        <v>30</v>
      </c>
      <c r="LW87" s="6">
        <v>21</v>
      </c>
      <c r="LX87" s="6">
        <v>1</v>
      </c>
      <c r="LY87" s="6">
        <v>2</v>
      </c>
      <c r="LZ87" s="6">
        <v>25</v>
      </c>
      <c r="MA87" s="6">
        <v>3</v>
      </c>
      <c r="MB87" s="6">
        <v>4</v>
      </c>
      <c r="MC87" s="6">
        <v>3</v>
      </c>
      <c r="MD87" s="6">
        <v>20</v>
      </c>
      <c r="ME87" s="6">
        <v>25</v>
      </c>
      <c r="MF87" s="6">
        <v>25</v>
      </c>
      <c r="MG87" s="6">
        <v>4</v>
      </c>
      <c r="MH87" s="6">
        <v>5</v>
      </c>
      <c r="MI87" s="6">
        <v>2</v>
      </c>
      <c r="MJ87" s="6">
        <v>25</v>
      </c>
      <c r="MK87" s="6">
        <v>12</v>
      </c>
      <c r="ML87" s="6">
        <v>3</v>
      </c>
      <c r="MM87" s="6">
        <v>3</v>
      </c>
      <c r="MN87" s="6">
        <v>5</v>
      </c>
      <c r="MO87" s="6">
        <v>25</v>
      </c>
      <c r="MP87" s="6">
        <v>40</v>
      </c>
      <c r="MQ87" s="6">
        <v>40</v>
      </c>
      <c r="MR87" s="6">
        <v>10</v>
      </c>
      <c r="MS87" s="6">
        <v>10</v>
      </c>
    </row>
    <row r="88" spans="1:357" x14ac:dyDescent="0.35">
      <c r="A88" s="27"/>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c r="BQ88" s="6"/>
      <c r="BR88" s="6"/>
      <c r="BS88" s="6"/>
      <c r="BT88" s="6"/>
      <c r="BU88" s="6"/>
      <c r="BV88" s="6"/>
      <c r="BW88" s="6"/>
      <c r="BX88" s="6"/>
      <c r="BY88" s="6"/>
      <c r="BZ88" s="6"/>
      <c r="CA88" s="6"/>
      <c r="CB88" s="6"/>
      <c r="CC88" s="6"/>
      <c r="CD88" s="6"/>
      <c r="CE88" s="6"/>
      <c r="CF88" s="6"/>
      <c r="CG88" s="6"/>
      <c r="CH88" s="6"/>
      <c r="CI88" s="6"/>
      <c r="CJ88" s="6"/>
      <c r="CK88" s="6"/>
      <c r="CL88" s="6"/>
      <c r="CM88" s="6"/>
      <c r="CN88" s="6"/>
      <c r="CO88" s="6"/>
      <c r="CP88" s="6"/>
      <c r="CQ88" s="6"/>
      <c r="CR88" s="6"/>
      <c r="CS88" s="6"/>
      <c r="CT88" s="6"/>
      <c r="CU88" s="6"/>
      <c r="CV88" s="6"/>
      <c r="CW88" s="6"/>
      <c r="CX88" s="6"/>
      <c r="CY88" s="6"/>
      <c r="CZ88" s="6"/>
      <c r="DA88" s="6"/>
      <c r="DB88" s="6"/>
      <c r="DC88" s="6"/>
      <c r="DD88" s="6"/>
      <c r="DE88" s="6"/>
      <c r="DF88" s="6"/>
      <c r="DG88" s="6"/>
      <c r="DH88" s="6"/>
      <c r="DI88" s="6"/>
      <c r="DJ88" s="6"/>
      <c r="DK88" s="6"/>
      <c r="DL88" s="6"/>
      <c r="DM88" s="6"/>
      <c r="DN88" s="6"/>
      <c r="DO88" s="6"/>
      <c r="DP88" s="6"/>
      <c r="DQ88" s="6"/>
      <c r="DR88" s="6"/>
      <c r="DS88" s="6"/>
      <c r="DT88" s="6"/>
      <c r="DU88" s="6"/>
      <c r="DV88" s="6"/>
      <c r="DW88" s="6"/>
      <c r="DX88" s="6"/>
      <c r="DY88" s="6"/>
      <c r="DZ88" s="6"/>
      <c r="EA88" s="6"/>
      <c r="EB88" s="6"/>
      <c r="EC88" s="6"/>
      <c r="ED88" s="6"/>
      <c r="EE88" s="6"/>
      <c r="EF88" s="6"/>
      <c r="EG88" s="6"/>
      <c r="EH88" s="6"/>
      <c r="EI88" s="6"/>
      <c r="EJ88" s="6"/>
      <c r="EK88" s="6"/>
      <c r="EL88" s="6"/>
      <c r="EM88" s="6"/>
      <c r="EN88" s="6"/>
      <c r="EO88" s="6"/>
      <c r="EP88" s="6"/>
      <c r="EQ88" s="6"/>
      <c r="ER88" s="6"/>
      <c r="ES88" s="6"/>
      <c r="ET88" s="6"/>
      <c r="EU88" s="6"/>
      <c r="EV88" s="6"/>
      <c r="EW88" s="6"/>
      <c r="EX88" s="6"/>
      <c r="EY88" s="6"/>
      <c r="EZ88" s="6"/>
      <c r="FA88" s="6"/>
      <c r="FB88" s="6"/>
      <c r="FC88" s="6"/>
      <c r="FD88" s="6"/>
      <c r="FE88" s="6"/>
      <c r="FF88" s="6"/>
      <c r="FG88" s="6"/>
      <c r="FH88" s="6"/>
      <c r="FI88" s="6"/>
      <c r="FJ88" s="6"/>
      <c r="FK88" s="6"/>
      <c r="FL88" s="6"/>
      <c r="FM88" s="6"/>
      <c r="FN88" s="6"/>
      <c r="FO88" s="6"/>
      <c r="FP88" s="6"/>
      <c r="FQ88" s="6"/>
      <c r="FR88" s="6"/>
      <c r="FS88" s="6"/>
      <c r="FT88" s="6"/>
      <c r="FU88" s="6"/>
      <c r="FV88" s="6"/>
      <c r="FW88" s="6"/>
      <c r="FX88" s="6"/>
      <c r="FY88" s="6"/>
      <c r="FZ88" s="6"/>
      <c r="GA88" s="6"/>
      <c r="GB88" s="6"/>
      <c r="GC88" s="6"/>
      <c r="GD88" s="6"/>
      <c r="GE88" s="6"/>
      <c r="GF88" s="6"/>
      <c r="GG88" s="6"/>
      <c r="GH88" s="6"/>
      <c r="GI88" s="6"/>
      <c r="GJ88" s="6"/>
      <c r="GK88" s="6"/>
      <c r="GL88" s="6"/>
      <c r="GM88" s="6"/>
      <c r="GN88" s="6"/>
      <c r="GO88" s="6"/>
      <c r="GP88" s="6"/>
      <c r="GQ88" s="6"/>
      <c r="GR88" s="6"/>
      <c r="GS88" s="6"/>
      <c r="GT88" s="6"/>
      <c r="GU88" s="6"/>
      <c r="GV88" s="6"/>
      <c r="GW88" s="6"/>
      <c r="GX88" s="6"/>
      <c r="GY88" s="6"/>
      <c r="GZ88" s="6"/>
      <c r="HA88" s="6"/>
      <c r="HB88" s="6"/>
      <c r="HC88" s="6"/>
      <c r="HD88" s="6"/>
      <c r="HE88" s="6"/>
      <c r="HF88" s="6"/>
      <c r="HG88" s="6"/>
      <c r="HH88" s="6"/>
      <c r="HI88" s="6"/>
      <c r="HJ88" s="6"/>
      <c r="HK88" s="6"/>
      <c r="HL88" s="6"/>
      <c r="HM88" s="6"/>
      <c r="HN88" s="6"/>
      <c r="HO88" s="6"/>
      <c r="HP88" s="6"/>
      <c r="HQ88" s="6"/>
      <c r="HR88" s="6"/>
      <c r="HS88" s="6"/>
      <c r="HT88" s="6"/>
      <c r="HU88" s="6"/>
      <c r="HV88" s="6"/>
      <c r="HW88" s="6"/>
      <c r="HX88" s="6"/>
      <c r="HY88" s="6"/>
      <c r="HZ88" s="6"/>
      <c r="IA88" s="6"/>
      <c r="IB88" s="6"/>
      <c r="IC88" s="6"/>
      <c r="ID88" s="6"/>
      <c r="IE88" s="6"/>
      <c r="IF88" s="6"/>
      <c r="IG88" s="6"/>
      <c r="IH88" s="6"/>
      <c r="II88" s="6"/>
      <c r="IJ88" s="6"/>
      <c r="IK88" s="6"/>
      <c r="IL88" s="6"/>
      <c r="IM88" s="6"/>
      <c r="IN88" s="6"/>
      <c r="IO88" s="6"/>
      <c r="IT88" s="6"/>
      <c r="IU88" s="6"/>
      <c r="IV88" s="6"/>
      <c r="IW88" s="6"/>
      <c r="IY88" s="6"/>
      <c r="IZ88" s="6"/>
      <c r="JA88" s="6"/>
      <c r="JB88" s="6"/>
      <c r="JC88" s="6"/>
      <c r="JD88" s="6"/>
      <c r="JE88" s="6"/>
      <c r="JF88" s="6"/>
      <c r="JG88" s="6"/>
      <c r="JH88" s="6"/>
      <c r="JI88" s="6"/>
      <c r="JJ88" s="6"/>
      <c r="JK88" s="6"/>
      <c r="JL88" s="6"/>
      <c r="JM88" s="6"/>
      <c r="JN88" s="6"/>
      <c r="JO88" s="6"/>
      <c r="JP88" s="6"/>
      <c r="JQ88" s="6"/>
      <c r="JR88" s="6"/>
      <c r="JS88" s="6"/>
      <c r="JT88" s="6"/>
      <c r="JU88" s="6"/>
      <c r="JV88" s="6"/>
      <c r="JW88" s="6"/>
      <c r="JX88" s="6"/>
      <c r="JY88" s="6"/>
      <c r="JZ88" s="6"/>
      <c r="KA88" s="6"/>
      <c r="KB88" s="6"/>
      <c r="KC88" s="6"/>
      <c r="KD88" s="6"/>
      <c r="KE88" s="6"/>
      <c r="KF88" s="6"/>
      <c r="KG88" s="6"/>
      <c r="KH88" s="6"/>
      <c r="KI88" s="6"/>
      <c r="KJ88" s="6"/>
      <c r="KK88" s="6"/>
      <c r="KL88" s="6"/>
      <c r="KM88" s="6"/>
      <c r="KN88" s="6"/>
      <c r="KO88" s="6"/>
      <c r="KP88" s="6"/>
      <c r="KQ88" s="6"/>
      <c r="KR88" s="6"/>
      <c r="KS88" s="6"/>
      <c r="KT88" s="6"/>
      <c r="KU88" s="6"/>
      <c r="KV88" s="6"/>
      <c r="KW88" s="6"/>
      <c r="KX88" s="6"/>
      <c r="KY88" s="6"/>
      <c r="KZ88" s="6"/>
      <c r="LA88" s="6"/>
      <c r="LB88" s="6"/>
      <c r="LC88" s="6"/>
      <c r="LD88" s="6"/>
      <c r="LE88" s="6"/>
      <c r="LF88" s="6"/>
      <c r="LG88" s="6"/>
      <c r="LH88" s="6"/>
      <c r="LI88" s="6"/>
      <c r="LK88" s="6"/>
      <c r="LL88" s="6"/>
      <c r="LM88" s="6"/>
      <c r="LN88" s="6"/>
      <c r="LO88" s="6"/>
      <c r="LQ88" s="6"/>
      <c r="LR88" s="6"/>
      <c r="LS88" s="6"/>
      <c r="LT88" s="6"/>
      <c r="LU88" s="6"/>
      <c r="LV88" s="6"/>
      <c r="LW88" s="6"/>
      <c r="LX88" s="6"/>
      <c r="LY88" s="6"/>
      <c r="LZ88" s="6"/>
      <c r="MA88" s="6"/>
      <c r="MB88" s="6"/>
      <c r="MC88" s="6"/>
      <c r="MD88" s="6"/>
      <c r="ME88" s="6"/>
      <c r="MF88" s="6"/>
      <c r="MG88" s="6"/>
      <c r="MH88" s="6"/>
      <c r="MI88" s="6"/>
      <c r="MJ88" s="6"/>
      <c r="MK88" s="6"/>
      <c r="ML88" s="6"/>
      <c r="MM88" s="6"/>
      <c r="MN88" s="6"/>
      <c r="MO88" s="6"/>
      <c r="MP88" s="6"/>
    </row>
    <row r="89" spans="1:357" x14ac:dyDescent="0.35">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6"/>
      <c r="BK89" s="6"/>
      <c r="BL89" s="6"/>
      <c r="BM89" s="6"/>
      <c r="BN89" s="6"/>
      <c r="BO89" s="6"/>
      <c r="BP89" s="6"/>
      <c r="BQ89" s="6"/>
      <c r="BR89" s="6"/>
      <c r="BS89" s="6"/>
      <c r="BT89" s="6"/>
      <c r="BU89" s="6"/>
      <c r="BV89" s="6"/>
      <c r="BW89" s="6"/>
      <c r="BX89" s="6"/>
      <c r="BY89" s="6"/>
      <c r="BZ89" s="6"/>
      <c r="CA89" s="6"/>
      <c r="CB89" s="6"/>
      <c r="CC89" s="6"/>
      <c r="CD89" s="6"/>
      <c r="CE89" s="6"/>
      <c r="CF89" s="6"/>
      <c r="CG89" s="6"/>
      <c r="CH89" s="6"/>
      <c r="CI89" s="6"/>
      <c r="CJ89" s="6"/>
      <c r="CK89" s="6"/>
      <c r="CL89" s="6"/>
      <c r="CM89" s="6"/>
      <c r="CN89" s="6"/>
      <c r="CO89" s="6"/>
      <c r="CP89" s="6"/>
      <c r="CQ89" s="6"/>
      <c r="CR89" s="6"/>
      <c r="CS89" s="6"/>
      <c r="CT89" s="6"/>
      <c r="CU89" s="6"/>
      <c r="CV89" s="6"/>
      <c r="CW89" s="6"/>
      <c r="CX89" s="6"/>
      <c r="CY89" s="6"/>
      <c r="CZ89" s="6"/>
      <c r="DA89" s="6"/>
      <c r="DB89" s="6"/>
      <c r="DC89" s="6"/>
      <c r="DD89" s="6"/>
      <c r="DE89" s="6"/>
      <c r="DF89" s="6"/>
      <c r="DG89" s="6"/>
      <c r="DH89" s="6"/>
      <c r="DI89" s="6"/>
      <c r="DJ89" s="6"/>
      <c r="DK89" s="6"/>
      <c r="DL89" s="6"/>
      <c r="DM89" s="6"/>
      <c r="DN89" s="6"/>
      <c r="DO89" s="6"/>
      <c r="DP89" s="6"/>
      <c r="DQ89" s="6"/>
      <c r="DR89" s="6"/>
      <c r="DS89" s="6"/>
      <c r="DT89" s="6"/>
      <c r="DU89" s="6"/>
      <c r="DV89" s="6"/>
      <c r="DW89" s="6"/>
      <c r="DX89" s="6"/>
      <c r="DY89" s="6"/>
      <c r="DZ89" s="6"/>
      <c r="EA89" s="6"/>
      <c r="EB89" s="6"/>
      <c r="EC89" s="6"/>
      <c r="ED89" s="6"/>
      <c r="EE89" s="6"/>
      <c r="EF89" s="6"/>
      <c r="EG89" s="6"/>
      <c r="EH89" s="6"/>
      <c r="EI89" s="6"/>
      <c r="EJ89" s="6"/>
      <c r="EK89" s="6"/>
      <c r="EL89" s="6"/>
      <c r="EM89" s="6"/>
      <c r="EN89" s="6"/>
      <c r="EO89" s="6"/>
      <c r="EP89" s="6"/>
      <c r="EQ89" s="6"/>
      <c r="ER89" s="6"/>
      <c r="ES89" s="6"/>
      <c r="ET89" s="6"/>
      <c r="EU89" s="6"/>
      <c r="EV89" s="6"/>
      <c r="EW89" s="6"/>
      <c r="EX89" s="6"/>
      <c r="EY89" s="6"/>
      <c r="EZ89" s="6"/>
      <c r="FA89" s="6"/>
      <c r="FB89" s="6"/>
      <c r="FC89" s="6"/>
      <c r="FD89" s="6"/>
      <c r="FE89" s="6"/>
      <c r="FF89" s="6"/>
      <c r="FG89" s="6"/>
      <c r="FH89" s="6"/>
      <c r="FI89" s="6"/>
      <c r="FJ89" s="6"/>
      <c r="FK89" s="6"/>
      <c r="FL89" s="6"/>
      <c r="FM89" s="6"/>
      <c r="FN89" s="6"/>
      <c r="FO89" s="6"/>
      <c r="FP89" s="6"/>
      <c r="FQ89" s="6"/>
      <c r="FR89" s="6"/>
      <c r="FS89" s="6"/>
      <c r="FT89" s="6"/>
      <c r="FU89" s="6"/>
      <c r="FV89" s="6"/>
      <c r="FW89" s="6"/>
      <c r="FX89" s="6"/>
      <c r="FY89" s="6"/>
      <c r="FZ89" s="6"/>
      <c r="GA89" s="6"/>
      <c r="GB89" s="6"/>
      <c r="GC89" s="6"/>
      <c r="GD89" s="6"/>
      <c r="GE89" s="6"/>
      <c r="GF89" s="6"/>
      <c r="GG89" s="6"/>
      <c r="GH89" s="6"/>
      <c r="GI89" s="6"/>
      <c r="GJ89" s="6"/>
      <c r="GK89" s="6"/>
      <c r="GL89" s="6"/>
      <c r="GM89" s="6"/>
      <c r="GN89" s="6"/>
      <c r="GO89" s="6"/>
      <c r="GP89" s="6"/>
      <c r="GQ89" s="6"/>
      <c r="GR89" s="6"/>
      <c r="GS89" s="6"/>
      <c r="GT89" s="6"/>
      <c r="GU89" s="6"/>
      <c r="GV89" s="6"/>
      <c r="GW89" s="6"/>
      <c r="GX89" s="6"/>
      <c r="GY89" s="6"/>
      <c r="GZ89" s="6"/>
      <c r="HA89" s="6"/>
      <c r="HB89" s="6"/>
      <c r="HC89" s="6"/>
      <c r="HD89" s="6"/>
      <c r="HE89" s="6"/>
      <c r="HF89" s="6"/>
      <c r="HG89" s="6"/>
      <c r="HH89" s="6"/>
      <c r="HI89" s="6"/>
      <c r="HJ89" s="6"/>
      <c r="HK89" s="6"/>
      <c r="HL89" s="6"/>
      <c r="HM89" s="6"/>
      <c r="HN89" s="6"/>
      <c r="HO89" s="6"/>
      <c r="HP89" s="6"/>
      <c r="HQ89" s="6"/>
      <c r="HR89" s="6"/>
      <c r="HS89" s="6"/>
      <c r="HT89" s="6"/>
      <c r="HU89" s="6"/>
      <c r="HV89" s="6"/>
      <c r="HW89" s="6"/>
      <c r="HX89" s="6"/>
      <c r="HY89" s="6"/>
      <c r="HZ89" s="6"/>
      <c r="IA89" s="6"/>
      <c r="IB89" s="6"/>
      <c r="IC89" s="6"/>
      <c r="ID89" s="6"/>
      <c r="IE89" s="6"/>
      <c r="IF89" s="6"/>
      <c r="IG89" s="6"/>
      <c r="IH89" s="6"/>
      <c r="II89" s="6"/>
      <c r="IJ89" s="6"/>
      <c r="IK89" s="6"/>
      <c r="IL89" s="6"/>
      <c r="IM89" s="6"/>
      <c r="IN89" s="6"/>
      <c r="IO89" s="6"/>
      <c r="IT89" s="6"/>
      <c r="IU89" s="6"/>
      <c r="IV89" s="6"/>
      <c r="IW89" s="6"/>
      <c r="IY89" s="6"/>
      <c r="IZ89" s="6"/>
      <c r="JA89" s="6"/>
      <c r="JB89" s="6"/>
      <c r="JC89" s="6"/>
      <c r="JD89" s="6"/>
      <c r="JE89" s="6"/>
      <c r="JF89" s="6"/>
      <c r="JG89" s="6"/>
      <c r="JH89" s="6"/>
      <c r="JI89" s="6"/>
      <c r="JJ89" s="6"/>
      <c r="JK89" s="6"/>
      <c r="JL89" s="6"/>
      <c r="JM89" s="6"/>
      <c r="JN89" s="6"/>
      <c r="JO89" s="6"/>
      <c r="JP89" s="6"/>
      <c r="JQ89" s="6"/>
      <c r="JR89" s="6"/>
      <c r="JS89" s="6"/>
      <c r="JT89" s="6"/>
      <c r="JU89" s="6"/>
      <c r="JV89" s="6"/>
      <c r="JW89" s="6"/>
      <c r="JX89" s="6"/>
      <c r="JY89" s="6"/>
      <c r="JZ89" s="6"/>
      <c r="KA89" s="6"/>
      <c r="KB89" s="6"/>
      <c r="KC89" s="6"/>
      <c r="KD89" s="6"/>
      <c r="KE89" s="6"/>
      <c r="KF89" s="6"/>
      <c r="KG89" s="6"/>
      <c r="KH89" s="6"/>
      <c r="KI89" s="6"/>
      <c r="KJ89" s="6"/>
      <c r="KK89" s="6"/>
      <c r="KL89" s="6"/>
      <c r="KM89" s="6"/>
      <c r="KN89" s="6"/>
      <c r="KO89" s="6"/>
      <c r="KP89" s="6"/>
      <c r="KQ89" s="6"/>
      <c r="KR89" s="6"/>
      <c r="KS89" s="6"/>
      <c r="KT89" s="6"/>
      <c r="KU89" s="6"/>
      <c r="KV89" s="6"/>
      <c r="KW89" s="6"/>
      <c r="KX89" s="6"/>
      <c r="KY89" s="6"/>
      <c r="KZ89" s="6"/>
      <c r="LA89" s="6"/>
      <c r="LB89" s="6"/>
      <c r="LC89" s="6"/>
      <c r="LD89" s="6"/>
      <c r="LE89" s="6"/>
      <c r="LF89" s="6"/>
      <c r="LG89" s="6"/>
      <c r="LH89" s="6"/>
      <c r="LI89" s="6"/>
      <c r="LK89" s="6"/>
      <c r="LL89" s="6"/>
      <c r="LM89" s="6"/>
      <c r="LN89" s="6"/>
      <c r="LO89" s="6"/>
      <c r="LQ89" s="6"/>
      <c r="LR89" s="6"/>
      <c r="LS89" s="6"/>
      <c r="LT89" s="6"/>
      <c r="LU89" s="6"/>
      <c r="LV89" s="6"/>
      <c r="LW89" s="6"/>
      <c r="LX89" s="6"/>
      <c r="LY89" s="6"/>
      <c r="LZ89" s="6"/>
      <c r="MA89" s="6"/>
      <c r="MB89" s="6"/>
      <c r="MC89" s="6"/>
      <c r="MD89" s="6"/>
      <c r="ME89" s="6"/>
      <c r="MF89" s="6"/>
      <c r="MG89" s="6"/>
      <c r="MH89" s="6"/>
      <c r="MI89" s="6"/>
      <c r="MJ89" s="6"/>
      <c r="MK89" s="6"/>
      <c r="ML89" s="6"/>
      <c r="MM89" s="6"/>
      <c r="MN89" s="6"/>
      <c r="MO89" s="6"/>
      <c r="MP89" s="6"/>
    </row>
    <row r="90" spans="1:357" x14ac:dyDescent="0.35">
      <c r="C90" t="s">
        <v>275</v>
      </c>
      <c r="E90" s="3">
        <f t="shared" ref="E90:F90" si="86">E84*E82*100</f>
        <v>7950</v>
      </c>
      <c r="F90" s="3">
        <f t="shared" si="86"/>
        <v>13000</v>
      </c>
      <c r="G90" s="3">
        <f t="shared" ref="G90:I90" si="87">G84*G82*100</f>
        <v>7950</v>
      </c>
      <c r="H90" s="3">
        <f t="shared" ref="H90" si="88">H84*H82*100</f>
        <v>13000</v>
      </c>
      <c r="I90" s="3">
        <f t="shared" si="87"/>
        <v>5800</v>
      </c>
      <c r="J90" s="3">
        <f t="shared" ref="J90:AZ90" si="89">J84*J82*100</f>
        <v>5250</v>
      </c>
      <c r="K90" s="3">
        <f t="shared" si="89"/>
        <v>5200</v>
      </c>
      <c r="L90" s="3">
        <f t="shared" si="89"/>
        <v>14000</v>
      </c>
      <c r="M90" s="3">
        <f t="shared" si="89"/>
        <v>8500</v>
      </c>
      <c r="N90" s="3">
        <f t="shared" si="89"/>
        <v>10000</v>
      </c>
      <c r="O90" s="3">
        <f t="shared" si="89"/>
        <v>4100</v>
      </c>
      <c r="P90" s="3">
        <f t="shared" si="89"/>
        <v>2600</v>
      </c>
      <c r="Q90" s="3">
        <f t="shared" si="89"/>
        <v>4000</v>
      </c>
      <c r="R90" s="3">
        <f t="shared" si="89"/>
        <v>5700</v>
      </c>
      <c r="S90" s="3">
        <f t="shared" si="89"/>
        <v>4000</v>
      </c>
      <c r="T90" s="3">
        <f t="shared" si="89"/>
        <v>4200</v>
      </c>
      <c r="U90" s="3">
        <f t="shared" si="89"/>
        <v>6300</v>
      </c>
      <c r="V90" s="3">
        <f t="shared" si="89"/>
        <v>4000</v>
      </c>
      <c r="W90" s="3">
        <f t="shared" si="89"/>
        <v>4100</v>
      </c>
      <c r="X90" s="3">
        <f t="shared" si="89"/>
        <v>5700</v>
      </c>
      <c r="Y90" s="3">
        <f t="shared" si="89"/>
        <v>7400</v>
      </c>
      <c r="Z90" s="3">
        <f t="shared" si="89"/>
        <v>13000</v>
      </c>
      <c r="AA90" s="3">
        <f t="shared" si="89"/>
        <v>7950</v>
      </c>
      <c r="AB90" s="3">
        <f t="shared" si="89"/>
        <v>6000</v>
      </c>
      <c r="AC90" s="3">
        <f t="shared" si="89"/>
        <v>11250</v>
      </c>
      <c r="AD90" s="3">
        <f t="shared" si="89"/>
        <v>9000</v>
      </c>
      <c r="AE90" s="3">
        <f t="shared" si="89"/>
        <v>7500</v>
      </c>
      <c r="AF90" s="3">
        <f t="shared" si="89"/>
        <v>12500</v>
      </c>
      <c r="AG90" s="3">
        <f t="shared" si="89"/>
        <v>4000</v>
      </c>
      <c r="AH90" s="3">
        <f t="shared" si="89"/>
        <v>9700</v>
      </c>
      <c r="AI90" s="3">
        <f t="shared" si="89"/>
        <v>9700</v>
      </c>
      <c r="AJ90" s="3">
        <f t="shared" si="89"/>
        <v>8500</v>
      </c>
      <c r="AK90" s="3">
        <f t="shared" si="89"/>
        <v>6800</v>
      </c>
      <c r="AL90" s="3">
        <f t="shared" si="89"/>
        <v>5700</v>
      </c>
      <c r="AM90" s="3">
        <f t="shared" si="89"/>
        <v>8800</v>
      </c>
      <c r="AN90" s="3">
        <f t="shared" si="89"/>
        <v>8800</v>
      </c>
      <c r="AO90" s="3">
        <f t="shared" si="89"/>
        <v>9600</v>
      </c>
      <c r="AP90" s="3">
        <f t="shared" si="89"/>
        <v>1700</v>
      </c>
      <c r="AQ90" s="3">
        <f t="shared" si="89"/>
        <v>12000</v>
      </c>
      <c r="AR90" s="3">
        <f t="shared" si="89"/>
        <v>13100</v>
      </c>
      <c r="AS90" s="3">
        <f t="shared" si="89"/>
        <v>13100</v>
      </c>
      <c r="AT90" s="3">
        <f t="shared" si="89"/>
        <v>18400</v>
      </c>
      <c r="AU90" s="3">
        <f t="shared" si="89"/>
        <v>24000</v>
      </c>
      <c r="AV90" s="3">
        <f t="shared" si="89"/>
        <v>12400</v>
      </c>
      <c r="AW90" s="3">
        <f t="shared" si="89"/>
        <v>12400</v>
      </c>
      <c r="AX90" s="3">
        <f t="shared" si="89"/>
        <v>6000</v>
      </c>
      <c r="AY90" s="3">
        <f t="shared" si="89"/>
        <v>6000</v>
      </c>
      <c r="AZ90" s="3">
        <f t="shared" si="89"/>
        <v>8800</v>
      </c>
      <c r="BA90" s="3">
        <f t="shared" ref="BA90:BS90" si="90">BA84*BA82*100</f>
        <v>6300</v>
      </c>
      <c r="BB90" s="3">
        <f t="shared" si="90"/>
        <v>6000</v>
      </c>
      <c r="BC90" s="3">
        <f t="shared" si="90"/>
        <v>14000</v>
      </c>
      <c r="BD90" s="3">
        <f t="shared" si="90"/>
        <v>10000</v>
      </c>
      <c r="BE90" s="3">
        <f t="shared" si="90"/>
        <v>27750</v>
      </c>
      <c r="BF90" s="3">
        <f t="shared" si="90"/>
        <v>8000</v>
      </c>
      <c r="BG90" s="3">
        <f t="shared" si="90"/>
        <v>9600</v>
      </c>
      <c r="BH90" s="3">
        <f t="shared" si="90"/>
        <v>8500</v>
      </c>
      <c r="BI90" s="3">
        <f t="shared" si="90"/>
        <v>12700</v>
      </c>
      <c r="BJ90" s="3">
        <f t="shared" si="90"/>
        <v>12700</v>
      </c>
      <c r="BK90" s="3">
        <f t="shared" si="90"/>
        <v>11000</v>
      </c>
      <c r="BL90" s="3">
        <f t="shared" si="90"/>
        <v>11000</v>
      </c>
      <c r="BM90" s="3">
        <f t="shared" si="90"/>
        <v>27500</v>
      </c>
      <c r="BN90" s="3">
        <f t="shared" si="90"/>
        <v>8500</v>
      </c>
      <c r="BO90" s="3">
        <f t="shared" si="90"/>
        <v>9600</v>
      </c>
      <c r="BP90" s="3">
        <f t="shared" si="90"/>
        <v>9600</v>
      </c>
      <c r="BQ90" s="3">
        <f t="shared" si="90"/>
        <v>2000</v>
      </c>
      <c r="BR90" s="3">
        <f t="shared" si="90"/>
        <v>10000</v>
      </c>
      <c r="BS90" s="3">
        <f t="shared" si="90"/>
        <v>10000</v>
      </c>
      <c r="BT90" s="3">
        <f t="shared" ref="BT90:CI90" si="91">BT84*BT82*100</f>
        <v>2800</v>
      </c>
      <c r="BU90" s="3">
        <f t="shared" si="91"/>
        <v>8500</v>
      </c>
      <c r="BV90" s="3">
        <f t="shared" si="91"/>
        <v>15200</v>
      </c>
      <c r="BW90" s="3">
        <f t="shared" si="91"/>
        <v>7600</v>
      </c>
      <c r="BX90" s="3">
        <f t="shared" si="91"/>
        <v>8800</v>
      </c>
      <c r="BY90" s="3">
        <f t="shared" si="91"/>
        <v>5600</v>
      </c>
      <c r="BZ90" s="3">
        <f t="shared" si="91"/>
        <v>8500</v>
      </c>
      <c r="CA90" s="3">
        <f t="shared" si="91"/>
        <v>9100</v>
      </c>
      <c r="CB90" s="3">
        <f t="shared" si="91"/>
        <v>9100</v>
      </c>
      <c r="CC90" s="3">
        <f t="shared" si="91"/>
        <v>13200</v>
      </c>
      <c r="CD90" s="3">
        <f t="shared" si="91"/>
        <v>17400</v>
      </c>
      <c r="CE90" s="3">
        <f t="shared" si="91"/>
        <v>10750</v>
      </c>
      <c r="CF90" s="3">
        <f t="shared" si="91"/>
        <v>8800</v>
      </c>
      <c r="CG90" s="3">
        <f t="shared" si="91"/>
        <v>10000</v>
      </c>
      <c r="CH90" s="3">
        <f t="shared" si="91"/>
        <v>10000</v>
      </c>
      <c r="CI90" s="3">
        <f t="shared" si="91"/>
        <v>4000</v>
      </c>
      <c r="CJ90" s="3">
        <f t="shared" ref="CJ90:CY90" si="92">CJ84*CJ82*100</f>
        <v>6000</v>
      </c>
      <c r="CK90" s="3">
        <f t="shared" si="92"/>
        <v>6200</v>
      </c>
      <c r="CL90" s="3">
        <f t="shared" si="92"/>
        <v>11250</v>
      </c>
      <c r="CM90" s="3">
        <f t="shared" si="92"/>
        <v>6750</v>
      </c>
      <c r="CN90" s="3">
        <f t="shared" si="92"/>
        <v>9600</v>
      </c>
      <c r="CO90" s="3">
        <f t="shared" si="92"/>
        <v>9600</v>
      </c>
      <c r="CP90" s="3">
        <f t="shared" si="92"/>
        <v>9600</v>
      </c>
      <c r="CQ90" s="3">
        <f t="shared" si="92"/>
        <v>1200</v>
      </c>
      <c r="CR90" s="3">
        <f t="shared" si="92"/>
        <v>1200</v>
      </c>
      <c r="CS90" s="3">
        <f t="shared" si="92"/>
        <v>10700</v>
      </c>
      <c r="CT90" s="3">
        <f t="shared" si="92"/>
        <v>10800</v>
      </c>
      <c r="CU90" s="3">
        <f t="shared" si="92"/>
        <v>9600</v>
      </c>
      <c r="CV90" s="3">
        <f t="shared" si="92"/>
        <v>8900</v>
      </c>
      <c r="CW90" s="3">
        <f t="shared" si="92"/>
        <v>8900</v>
      </c>
      <c r="CX90" s="3">
        <f t="shared" si="92"/>
        <v>10000</v>
      </c>
      <c r="CY90" s="3">
        <f t="shared" si="92"/>
        <v>10000</v>
      </c>
      <c r="CZ90" s="3">
        <f t="shared" ref="CZ90:DE90" si="93">CZ84*CZ82*100</f>
        <v>17400</v>
      </c>
      <c r="DA90" s="3">
        <f t="shared" si="93"/>
        <v>13000</v>
      </c>
      <c r="DB90" s="3">
        <f t="shared" si="93"/>
        <v>52000</v>
      </c>
      <c r="DC90" s="3">
        <f t="shared" si="93"/>
        <v>17300</v>
      </c>
      <c r="DD90" s="3">
        <f t="shared" si="93"/>
        <v>13000</v>
      </c>
      <c r="DE90" s="3">
        <f t="shared" si="93"/>
        <v>16500</v>
      </c>
      <c r="DF90" s="3">
        <f t="shared" ref="DF90:EM90" si="94">DF84*DF82*100</f>
        <v>9600</v>
      </c>
      <c r="DG90" s="3">
        <f t="shared" si="94"/>
        <v>9600</v>
      </c>
      <c r="DH90" s="3">
        <f t="shared" si="94"/>
        <v>25000</v>
      </c>
      <c r="DI90" s="3">
        <f t="shared" si="94"/>
        <v>25000</v>
      </c>
      <c r="DJ90" s="3">
        <f t="shared" si="94"/>
        <v>16500</v>
      </c>
      <c r="DK90" s="3">
        <f t="shared" si="94"/>
        <v>13000</v>
      </c>
      <c r="DL90" s="3">
        <f t="shared" si="94"/>
        <v>10900</v>
      </c>
      <c r="DM90" s="3">
        <f t="shared" si="94"/>
        <v>10800</v>
      </c>
      <c r="DN90" s="3">
        <f t="shared" si="94"/>
        <v>9200</v>
      </c>
      <c r="DO90" s="3">
        <f t="shared" si="94"/>
        <v>49600</v>
      </c>
      <c r="DP90" s="3">
        <f t="shared" si="94"/>
        <v>49600</v>
      </c>
      <c r="DQ90" s="3">
        <f t="shared" si="94"/>
        <v>18000</v>
      </c>
      <c r="DR90" s="3">
        <f t="shared" si="94"/>
        <v>9400</v>
      </c>
      <c r="DS90" s="3">
        <f t="shared" si="94"/>
        <v>9400</v>
      </c>
      <c r="DT90" s="3">
        <f t="shared" si="94"/>
        <v>9600</v>
      </c>
      <c r="DU90" s="3">
        <f t="shared" si="94"/>
        <v>9200</v>
      </c>
      <c r="DV90" s="3">
        <f t="shared" si="94"/>
        <v>15000</v>
      </c>
      <c r="DW90" s="3">
        <f t="shared" si="94"/>
        <v>9200</v>
      </c>
      <c r="DX90" s="3">
        <f t="shared" si="94"/>
        <v>9750</v>
      </c>
      <c r="DY90" s="3">
        <f t="shared" si="94"/>
        <v>9750</v>
      </c>
      <c r="DZ90" s="3">
        <f t="shared" si="94"/>
        <v>10800</v>
      </c>
      <c r="EA90" s="3">
        <f t="shared" si="94"/>
        <v>25000</v>
      </c>
      <c r="EB90" s="3">
        <f t="shared" si="94"/>
        <v>10900</v>
      </c>
      <c r="EC90" s="3">
        <f t="shared" si="94"/>
        <v>21800</v>
      </c>
      <c r="ED90" s="3">
        <f t="shared" si="94"/>
        <v>21600</v>
      </c>
      <c r="EE90" s="3">
        <f t="shared" si="94"/>
        <v>21600</v>
      </c>
      <c r="EF90" s="3">
        <f t="shared" si="94"/>
        <v>9400</v>
      </c>
      <c r="EG90" s="3">
        <f t="shared" si="94"/>
        <v>16300</v>
      </c>
      <c r="EH90" s="3">
        <f t="shared" si="94"/>
        <v>9400</v>
      </c>
      <c r="EI90" s="3">
        <f t="shared" si="94"/>
        <v>9600</v>
      </c>
      <c r="EJ90" s="3">
        <f t="shared" si="94"/>
        <v>31250</v>
      </c>
      <c r="EK90" s="3">
        <f t="shared" si="94"/>
        <v>11400</v>
      </c>
      <c r="EL90" s="3">
        <f t="shared" si="94"/>
        <v>9800</v>
      </c>
      <c r="EM90" s="3">
        <f t="shared" si="94"/>
        <v>9850</v>
      </c>
      <c r="EN90" s="3">
        <f t="shared" ref="EN90:FQ90" si="95">EN84*EN82*100</f>
        <v>54000</v>
      </c>
      <c r="EO90" s="3">
        <f t="shared" si="95"/>
        <v>1850</v>
      </c>
      <c r="EP90" s="3">
        <f t="shared" si="95"/>
        <v>1850</v>
      </c>
      <c r="EQ90" s="3">
        <f t="shared" si="95"/>
        <v>9750</v>
      </c>
      <c r="ER90" s="3">
        <f t="shared" si="95"/>
        <v>9900</v>
      </c>
      <c r="ES90" s="3">
        <f t="shared" si="95"/>
        <v>9900</v>
      </c>
      <c r="ET90" s="3">
        <f t="shared" si="95"/>
        <v>7950</v>
      </c>
      <c r="EU90" s="3">
        <f t="shared" si="95"/>
        <v>9750</v>
      </c>
      <c r="EV90" s="3">
        <f t="shared" si="95"/>
        <v>13000</v>
      </c>
      <c r="EW90" s="3">
        <f t="shared" si="95"/>
        <v>12000</v>
      </c>
      <c r="EX90" s="3">
        <f t="shared" si="95"/>
        <v>24000</v>
      </c>
      <c r="EY90" s="3">
        <f t="shared" si="95"/>
        <v>13000</v>
      </c>
      <c r="EZ90" s="3">
        <f t="shared" si="95"/>
        <v>9800</v>
      </c>
      <c r="FA90" s="3">
        <f t="shared" si="95"/>
        <v>14500</v>
      </c>
      <c r="FB90" s="3">
        <f t="shared" si="95"/>
        <v>30000</v>
      </c>
      <c r="FC90" s="3">
        <f t="shared" si="95"/>
        <v>11300</v>
      </c>
      <c r="FD90" s="3">
        <f t="shared" si="95"/>
        <v>11300</v>
      </c>
      <c r="FE90" s="3">
        <f t="shared" si="95"/>
        <v>11400</v>
      </c>
      <c r="FF90" s="3">
        <f t="shared" si="95"/>
        <v>39200</v>
      </c>
      <c r="FG90" s="3">
        <f t="shared" si="95"/>
        <v>29000</v>
      </c>
      <c r="FH90" s="3">
        <f t="shared" si="95"/>
        <v>8400</v>
      </c>
      <c r="FI90" s="3">
        <f t="shared" si="95"/>
        <v>81000</v>
      </c>
      <c r="FJ90" s="3">
        <f t="shared" si="95"/>
        <v>80500</v>
      </c>
      <c r="FK90" s="3">
        <f t="shared" si="95"/>
        <v>15000</v>
      </c>
      <c r="FL90" s="3">
        <f t="shared" si="95"/>
        <v>49600</v>
      </c>
      <c r="FM90" s="3">
        <f t="shared" si="95"/>
        <v>10000</v>
      </c>
      <c r="FN90" s="3">
        <f t="shared" si="95"/>
        <v>15000</v>
      </c>
      <c r="FO90" s="3">
        <f t="shared" si="95"/>
        <v>6200</v>
      </c>
      <c r="FP90" s="3">
        <f t="shared" si="95"/>
        <v>6200</v>
      </c>
      <c r="FQ90" s="3">
        <f t="shared" si="95"/>
        <v>14750</v>
      </c>
      <c r="FR90" s="3">
        <f t="shared" ref="FR90:GQ90" si="96">FR84*FR82*100</f>
        <v>7500</v>
      </c>
      <c r="FS90" s="3">
        <f t="shared" si="96"/>
        <v>9000</v>
      </c>
      <c r="FT90" s="3">
        <f t="shared" si="96"/>
        <v>7950</v>
      </c>
      <c r="FU90" s="3">
        <f t="shared" si="96"/>
        <v>13000</v>
      </c>
      <c r="FV90" s="3">
        <f t="shared" si="96"/>
        <v>6250</v>
      </c>
      <c r="FW90" s="3">
        <f t="shared" si="96"/>
        <v>11300</v>
      </c>
      <c r="FX90" s="3">
        <f t="shared" si="96"/>
        <v>49600</v>
      </c>
      <c r="FY90" s="3">
        <f t="shared" si="96"/>
        <v>15000</v>
      </c>
      <c r="FZ90" s="3">
        <f t="shared" si="96"/>
        <v>7750</v>
      </c>
      <c r="GA90" s="3">
        <f t="shared" si="96"/>
        <v>31000</v>
      </c>
      <c r="GB90" s="3">
        <f t="shared" si="96"/>
        <v>39550</v>
      </c>
      <c r="GC90" s="3">
        <f t="shared" si="96"/>
        <v>29000</v>
      </c>
      <c r="GD90" s="3">
        <f t="shared" si="96"/>
        <v>13200</v>
      </c>
      <c r="GE90" s="3">
        <f t="shared" si="96"/>
        <v>28750</v>
      </c>
      <c r="GF90" s="3">
        <f t="shared" si="96"/>
        <v>7750</v>
      </c>
      <c r="GG90" s="3">
        <f t="shared" si="96"/>
        <v>11300</v>
      </c>
      <c r="GH90" s="3">
        <f t="shared" si="96"/>
        <v>9250</v>
      </c>
      <c r="GI90" s="3">
        <f t="shared" si="96"/>
        <v>60000</v>
      </c>
      <c r="GJ90" s="3">
        <f t="shared" si="96"/>
        <v>60000</v>
      </c>
      <c r="GK90" s="3">
        <f t="shared" si="96"/>
        <v>60000</v>
      </c>
      <c r="GL90" s="3">
        <f t="shared" si="96"/>
        <v>36000</v>
      </c>
      <c r="GM90" s="3">
        <f t="shared" si="96"/>
        <v>9000</v>
      </c>
      <c r="GN90" s="3">
        <f t="shared" si="96"/>
        <v>17500</v>
      </c>
      <c r="GO90" s="3">
        <f t="shared" si="96"/>
        <v>7800</v>
      </c>
      <c r="GP90" s="3">
        <f t="shared" si="96"/>
        <v>13000</v>
      </c>
      <c r="GQ90" s="3">
        <f t="shared" si="96"/>
        <v>22000</v>
      </c>
      <c r="GR90" s="3">
        <f t="shared" ref="GR90:HO90" si="97">GR84*GR82*100</f>
        <v>13000</v>
      </c>
      <c r="GS90" s="3">
        <f t="shared" si="97"/>
        <v>15000</v>
      </c>
      <c r="GT90" s="3">
        <f t="shared" si="97"/>
        <v>14750</v>
      </c>
      <c r="GU90" s="3">
        <f t="shared" si="97"/>
        <v>49600</v>
      </c>
      <c r="GV90" s="3">
        <f t="shared" si="97"/>
        <v>7500</v>
      </c>
      <c r="GW90" s="3">
        <f t="shared" si="97"/>
        <v>9250</v>
      </c>
      <c r="GX90" s="3">
        <f t="shared" si="97"/>
        <v>27750</v>
      </c>
      <c r="GY90" s="3">
        <f t="shared" si="97"/>
        <v>30000</v>
      </c>
      <c r="GZ90" s="3">
        <f t="shared" si="97"/>
        <v>11400</v>
      </c>
      <c r="HA90" s="3">
        <f t="shared" si="97"/>
        <v>9200</v>
      </c>
      <c r="HB90" s="3">
        <f t="shared" si="97"/>
        <v>700</v>
      </c>
      <c r="HC90" s="3">
        <f t="shared" si="97"/>
        <v>58000</v>
      </c>
      <c r="HD90" s="3">
        <f t="shared" si="97"/>
        <v>3600</v>
      </c>
      <c r="HE90" s="3">
        <f t="shared" si="97"/>
        <v>80000</v>
      </c>
      <c r="HF90" s="3">
        <f t="shared" si="97"/>
        <v>166500</v>
      </c>
      <c r="HG90" s="3">
        <f t="shared" si="97"/>
        <v>49600</v>
      </c>
      <c r="HH90" s="3">
        <f t="shared" si="97"/>
        <v>15000</v>
      </c>
      <c r="HI90" s="3">
        <f t="shared" si="97"/>
        <v>14200</v>
      </c>
      <c r="HJ90" s="3">
        <f t="shared" si="97"/>
        <v>14000</v>
      </c>
      <c r="HK90" s="3">
        <f t="shared" si="97"/>
        <v>15000</v>
      </c>
      <c r="HL90" s="3">
        <f t="shared" si="97"/>
        <v>13500</v>
      </c>
      <c r="HM90" s="3">
        <f t="shared" si="97"/>
        <v>37500</v>
      </c>
      <c r="HN90" s="3">
        <f t="shared" si="97"/>
        <v>11300</v>
      </c>
      <c r="HO90" s="3">
        <f t="shared" si="97"/>
        <v>14200</v>
      </c>
      <c r="HP90" s="3">
        <f t="shared" ref="HP90:HV90" si="98">HP84*HP82*100</f>
        <v>3600</v>
      </c>
      <c r="HQ90" s="3">
        <f t="shared" si="98"/>
        <v>8400</v>
      </c>
      <c r="HR90" s="3">
        <f t="shared" si="98"/>
        <v>15000</v>
      </c>
      <c r="HS90" s="3">
        <f t="shared" si="98"/>
        <v>11300</v>
      </c>
      <c r="HT90" s="3">
        <f t="shared" si="98"/>
        <v>14400</v>
      </c>
      <c r="HU90" s="3">
        <f t="shared" si="98"/>
        <v>81500</v>
      </c>
      <c r="HV90" s="3">
        <f t="shared" si="98"/>
        <v>54000</v>
      </c>
      <c r="HW90" s="3">
        <f t="shared" ref="HW90:IC90" si="99">HW84*HW82*100</f>
        <v>800</v>
      </c>
      <c r="HX90" s="3">
        <f t="shared" si="99"/>
        <v>12600</v>
      </c>
      <c r="HY90" s="3">
        <f t="shared" si="99"/>
        <v>82000</v>
      </c>
      <c r="HZ90" s="3">
        <f t="shared" si="99"/>
        <v>49600</v>
      </c>
      <c r="IA90" s="3">
        <f t="shared" si="99"/>
        <v>15000</v>
      </c>
      <c r="IB90" s="3">
        <f t="shared" si="99"/>
        <v>15250</v>
      </c>
      <c r="IC90" s="3">
        <f t="shared" si="99"/>
        <v>11300</v>
      </c>
      <c r="ID90" s="3">
        <f t="shared" ref="ID90:II90" si="100">ID84*ID82*100</f>
        <v>13200</v>
      </c>
      <c r="IE90" s="3">
        <f t="shared" si="100"/>
        <v>2400</v>
      </c>
      <c r="IF90" s="3">
        <f t="shared" si="100"/>
        <v>9500</v>
      </c>
      <c r="IG90" s="3">
        <f t="shared" si="100"/>
        <v>42000</v>
      </c>
      <c r="IH90" s="3">
        <f t="shared" si="100"/>
        <v>10000</v>
      </c>
      <c r="II90" s="3">
        <f t="shared" si="100"/>
        <v>49600</v>
      </c>
      <c r="IJ90" s="3">
        <f t="shared" ref="IJ90:IO90" si="101">IJ84*IJ82*100</f>
        <v>9200</v>
      </c>
      <c r="IK90" s="3">
        <f t="shared" si="101"/>
        <v>171000</v>
      </c>
      <c r="IL90" s="3">
        <f t="shared" si="101"/>
        <v>11400</v>
      </c>
      <c r="IM90" s="3">
        <f t="shared" si="101"/>
        <v>7950</v>
      </c>
      <c r="IN90" s="3">
        <f t="shared" si="101"/>
        <v>3600</v>
      </c>
      <c r="IO90" s="3">
        <f t="shared" si="101"/>
        <v>10000</v>
      </c>
      <c r="IP90" s="3">
        <f t="shared" ref="IP90:IV90" si="102">IP84*IP82*100</f>
        <v>30000</v>
      </c>
      <c r="IQ90" s="3">
        <f t="shared" si="102"/>
        <v>10000</v>
      </c>
      <c r="IR90" s="3">
        <f t="shared" si="102"/>
        <v>9000</v>
      </c>
      <c r="IS90" s="3">
        <f t="shared" si="102"/>
        <v>13000</v>
      </c>
      <c r="IT90" s="3">
        <f t="shared" si="102"/>
        <v>51750</v>
      </c>
      <c r="IU90" s="3">
        <f t="shared" si="102"/>
        <v>47250</v>
      </c>
      <c r="IV90" s="3">
        <f t="shared" si="102"/>
        <v>89250</v>
      </c>
      <c r="IW90" s="3">
        <f t="shared" ref="IW90:JL90" si="103">IW84*IW82*100</f>
        <v>168000</v>
      </c>
      <c r="IX90" s="3">
        <f t="shared" si="103"/>
        <v>13250</v>
      </c>
      <c r="IY90" s="3">
        <f t="shared" si="103"/>
        <v>11400</v>
      </c>
      <c r="IZ90" s="3">
        <f t="shared" si="103"/>
        <v>49700</v>
      </c>
      <c r="JA90" s="3">
        <f t="shared" si="103"/>
        <v>800</v>
      </c>
      <c r="JB90" s="3">
        <f t="shared" si="103"/>
        <v>12800</v>
      </c>
      <c r="JC90" s="3">
        <f t="shared" si="103"/>
        <v>11800</v>
      </c>
      <c r="JD90" s="3">
        <f t="shared" si="103"/>
        <v>11600</v>
      </c>
      <c r="JE90" s="3">
        <f t="shared" si="103"/>
        <v>6000</v>
      </c>
      <c r="JF90" s="3">
        <f t="shared" si="103"/>
        <v>11600</v>
      </c>
      <c r="JG90" s="3">
        <f t="shared" si="103"/>
        <v>49500</v>
      </c>
      <c r="JH90" s="3">
        <f t="shared" si="103"/>
        <v>47250</v>
      </c>
      <c r="JI90" s="3">
        <f t="shared" si="103"/>
        <v>13500</v>
      </c>
      <c r="JJ90" s="3">
        <f t="shared" si="103"/>
        <v>7700</v>
      </c>
      <c r="JK90" s="3">
        <f t="shared" si="103"/>
        <v>52800</v>
      </c>
      <c r="JL90" s="3">
        <f t="shared" si="103"/>
        <v>16800</v>
      </c>
      <c r="JM90" s="3">
        <f t="shared" ref="JM90:JW90" si="104">JM84*JM82*100</f>
        <v>11500</v>
      </c>
      <c r="JN90" s="3">
        <f t="shared" si="104"/>
        <v>28750</v>
      </c>
      <c r="JO90" s="3">
        <f t="shared" si="104"/>
        <v>21350</v>
      </c>
      <c r="JP90" s="3">
        <f t="shared" si="104"/>
        <v>7400</v>
      </c>
      <c r="JQ90" s="3">
        <f t="shared" si="104"/>
        <v>11500</v>
      </c>
      <c r="JR90" s="3">
        <f t="shared" si="104"/>
        <v>3700</v>
      </c>
      <c r="JS90" s="3">
        <f t="shared" si="104"/>
        <v>27250</v>
      </c>
      <c r="JT90" s="3">
        <f t="shared" si="104"/>
        <v>4800</v>
      </c>
      <c r="JU90" s="3">
        <f t="shared" si="104"/>
        <v>13800</v>
      </c>
      <c r="JV90" s="3">
        <f t="shared" si="104"/>
        <v>7400</v>
      </c>
      <c r="JW90" s="3">
        <f t="shared" si="104"/>
        <v>27250</v>
      </c>
      <c r="JX90" s="3">
        <f t="shared" ref="JX90:KE90" si="105">JX84*JX82*100</f>
        <v>55200</v>
      </c>
      <c r="JY90" s="3">
        <f t="shared" si="105"/>
        <v>6400</v>
      </c>
      <c r="JZ90" s="3">
        <f t="shared" si="105"/>
        <v>12200</v>
      </c>
      <c r="KA90" s="3">
        <f t="shared" si="105"/>
        <v>13200</v>
      </c>
      <c r="KB90" s="3">
        <f t="shared" si="105"/>
        <v>13400</v>
      </c>
      <c r="KC90" s="3">
        <f t="shared" si="105"/>
        <v>13600</v>
      </c>
      <c r="KD90" s="3">
        <f t="shared" si="105"/>
        <v>30000</v>
      </c>
      <c r="KE90" s="3">
        <f t="shared" si="105"/>
        <v>31250</v>
      </c>
      <c r="KF90" s="3">
        <f t="shared" ref="KF90:KL90" si="106">KF84*KF82*100</f>
        <v>5900</v>
      </c>
      <c r="KG90" s="3">
        <f t="shared" si="106"/>
        <v>57000</v>
      </c>
      <c r="KH90" s="3">
        <f t="shared" si="106"/>
        <v>31250</v>
      </c>
      <c r="KI90" s="3">
        <f t="shared" si="106"/>
        <v>20400</v>
      </c>
      <c r="KJ90" s="3">
        <f t="shared" si="106"/>
        <v>30000</v>
      </c>
      <c r="KK90" s="3">
        <f t="shared" si="106"/>
        <v>59750</v>
      </c>
      <c r="KL90" s="3">
        <f t="shared" si="106"/>
        <v>24250</v>
      </c>
      <c r="KM90" s="3">
        <f t="shared" ref="KM90:KR90" si="107">KM84*KM82*100</f>
        <v>30000</v>
      </c>
      <c r="KN90" s="3">
        <f t="shared" si="107"/>
        <v>59000</v>
      </c>
      <c r="KO90" s="3">
        <f t="shared" si="107"/>
        <v>6200</v>
      </c>
      <c r="KP90" s="3">
        <f t="shared" si="107"/>
        <v>21500</v>
      </c>
      <c r="KQ90" s="3">
        <f t="shared" si="107"/>
        <v>30000</v>
      </c>
      <c r="KR90" s="3">
        <f t="shared" si="107"/>
        <v>64800</v>
      </c>
      <c r="KS90" s="3">
        <f t="shared" ref="KS90:MS90" si="108">KS84*KS82*100</f>
        <v>63000</v>
      </c>
      <c r="KT90" s="3">
        <f t="shared" si="108"/>
        <v>51000</v>
      </c>
      <c r="KU90" s="3">
        <f t="shared" si="108"/>
        <v>30000</v>
      </c>
      <c r="KV90" s="3">
        <f t="shared" si="108"/>
        <v>33000</v>
      </c>
      <c r="KW90" s="3">
        <f t="shared" si="108"/>
        <v>20400</v>
      </c>
      <c r="KX90" s="3">
        <f t="shared" si="108"/>
        <v>71000</v>
      </c>
      <c r="KY90" s="3">
        <f t="shared" si="108"/>
        <v>5000</v>
      </c>
      <c r="KZ90" s="3">
        <f t="shared" si="108"/>
        <v>25000</v>
      </c>
      <c r="LA90" s="3">
        <f t="shared" si="108"/>
        <v>166500</v>
      </c>
      <c r="LB90" s="3">
        <f t="shared" si="108"/>
        <v>61800</v>
      </c>
      <c r="LC90" s="3">
        <f t="shared" si="108"/>
        <v>166500</v>
      </c>
      <c r="LD90" s="3">
        <f t="shared" si="108"/>
        <v>19000</v>
      </c>
      <c r="LE90" s="3">
        <f t="shared" si="108"/>
        <v>1600</v>
      </c>
      <c r="LF90" s="3">
        <f t="shared" si="108"/>
        <v>71000</v>
      </c>
      <c r="LG90" s="3">
        <f t="shared" si="108"/>
        <v>7500</v>
      </c>
      <c r="LH90" s="3">
        <f t="shared" si="108"/>
        <v>3600</v>
      </c>
      <c r="LI90" s="3">
        <f t="shared" si="108"/>
        <v>20400</v>
      </c>
      <c r="LJ90" s="3">
        <f t="shared" si="108"/>
        <v>166500</v>
      </c>
      <c r="LK90" s="3">
        <f t="shared" si="108"/>
        <v>58500</v>
      </c>
      <c r="LL90" s="3">
        <f t="shared" si="108"/>
        <v>7500</v>
      </c>
      <c r="LM90" s="3">
        <f t="shared" si="108"/>
        <v>37950</v>
      </c>
      <c r="LN90" s="3">
        <f t="shared" si="108"/>
        <v>3600</v>
      </c>
      <c r="LO90" s="3">
        <f t="shared" si="108"/>
        <v>21000</v>
      </c>
      <c r="LP90" s="3">
        <f t="shared" si="108"/>
        <v>166500</v>
      </c>
      <c r="LQ90" s="3">
        <f t="shared" si="108"/>
        <v>1600</v>
      </c>
      <c r="LR90" s="3">
        <f t="shared" si="108"/>
        <v>23000</v>
      </c>
      <c r="LS90" s="3">
        <f t="shared" si="108"/>
        <v>2850</v>
      </c>
      <c r="LT90" s="3">
        <f t="shared" si="108"/>
        <v>30000</v>
      </c>
      <c r="LU90" s="3">
        <f t="shared" si="108"/>
        <v>23500</v>
      </c>
      <c r="LV90" s="3">
        <f t="shared" si="108"/>
        <v>7700</v>
      </c>
      <c r="LW90" s="3">
        <f t="shared" si="108"/>
        <v>7700</v>
      </c>
      <c r="LX90" s="3">
        <f t="shared" si="108"/>
        <v>30500</v>
      </c>
      <c r="LY90" s="3">
        <f t="shared" si="108"/>
        <v>23500</v>
      </c>
      <c r="LZ90" s="3">
        <f t="shared" si="108"/>
        <v>51000</v>
      </c>
      <c r="MA90" s="3">
        <f t="shared" si="108"/>
        <v>31000</v>
      </c>
      <c r="MB90" s="3">
        <f t="shared" si="108"/>
        <v>30000</v>
      </c>
      <c r="MC90" s="3">
        <f t="shared" si="108"/>
        <v>30500</v>
      </c>
      <c r="MD90" s="3">
        <f t="shared" si="108"/>
        <v>57500</v>
      </c>
      <c r="ME90" s="3">
        <f t="shared" si="108"/>
        <v>51000</v>
      </c>
      <c r="MF90" s="3">
        <f t="shared" si="108"/>
        <v>51000</v>
      </c>
      <c r="MG90" s="3">
        <f t="shared" si="108"/>
        <v>1600</v>
      </c>
      <c r="MH90" s="3">
        <f t="shared" si="108"/>
        <v>68000</v>
      </c>
      <c r="MI90" s="3">
        <f t="shared" si="108"/>
        <v>23200</v>
      </c>
      <c r="MJ90" s="3">
        <f t="shared" si="108"/>
        <v>34500</v>
      </c>
      <c r="MK90" s="3">
        <f t="shared" si="108"/>
        <v>36000</v>
      </c>
      <c r="ML90" s="3">
        <f t="shared" si="108"/>
        <v>30000</v>
      </c>
      <c r="MM90" s="3">
        <f t="shared" si="108"/>
        <v>32500</v>
      </c>
      <c r="MN90" s="3">
        <f t="shared" si="108"/>
        <v>30000</v>
      </c>
      <c r="MO90" s="3">
        <f t="shared" si="108"/>
        <v>55500</v>
      </c>
      <c r="MP90" s="3">
        <f t="shared" si="108"/>
        <v>33000</v>
      </c>
      <c r="MQ90" s="3">
        <f t="shared" si="108"/>
        <v>19000</v>
      </c>
      <c r="MR90" s="3">
        <f t="shared" si="108"/>
        <v>68000</v>
      </c>
      <c r="MS90" s="3">
        <f t="shared" si="108"/>
        <v>30000</v>
      </c>
    </row>
    <row r="91" spans="1:357" x14ac:dyDescent="0.35">
      <c r="C91" t="s">
        <v>274</v>
      </c>
      <c r="E91" s="3">
        <f t="shared" ref="E91:F91" si="109">(E80*100+E86)*E82+E85</f>
        <v>160</v>
      </c>
      <c r="F91" s="3">
        <f t="shared" si="109"/>
        <v>264</v>
      </c>
      <c r="G91" s="3">
        <f t="shared" ref="G91:I91" si="110">(G80*100+G86)*G82+G85</f>
        <v>46.000000000000007</v>
      </c>
      <c r="H91" s="3">
        <f t="shared" ref="H91" si="111">(H80*100+H86)*H82+H85</f>
        <v>74.000000000000014</v>
      </c>
      <c r="I91" s="3">
        <f t="shared" si="110"/>
        <v>12</v>
      </c>
      <c r="J91" s="3">
        <f t="shared" ref="J91:AZ91" si="112">(J80*100+J86)*J82+J85</f>
        <v>129</v>
      </c>
      <c r="K91" s="3">
        <f t="shared" si="112"/>
        <v>129</v>
      </c>
      <c r="L91" s="3">
        <f t="shared" si="112"/>
        <v>4309</v>
      </c>
      <c r="M91" s="3">
        <f t="shared" si="112"/>
        <v>14</v>
      </c>
      <c r="N91" s="3">
        <f t="shared" si="112"/>
        <v>3064</v>
      </c>
      <c r="O91" s="3">
        <f t="shared" si="112"/>
        <v>170</v>
      </c>
      <c r="P91" s="3">
        <f t="shared" si="112"/>
        <v>64</v>
      </c>
      <c r="Q91" s="3">
        <f t="shared" si="112"/>
        <v>524</v>
      </c>
      <c r="R91" s="3">
        <f t="shared" si="112"/>
        <v>394</v>
      </c>
      <c r="S91" s="3">
        <f t="shared" si="112"/>
        <v>428</v>
      </c>
      <c r="T91" s="3">
        <f t="shared" si="112"/>
        <v>624</v>
      </c>
      <c r="U91" s="3">
        <f t="shared" si="112"/>
        <v>934</v>
      </c>
      <c r="V91" s="3">
        <f t="shared" si="112"/>
        <v>428</v>
      </c>
      <c r="W91" s="3">
        <f t="shared" si="112"/>
        <v>56</v>
      </c>
      <c r="X91" s="3">
        <f t="shared" si="112"/>
        <v>239</v>
      </c>
      <c r="Y91" s="3">
        <f t="shared" si="112"/>
        <v>282</v>
      </c>
      <c r="Z91" s="3">
        <f t="shared" si="112"/>
        <v>519</v>
      </c>
      <c r="AA91" s="3">
        <f t="shared" si="112"/>
        <v>361</v>
      </c>
      <c r="AB91" s="3">
        <f t="shared" si="112"/>
        <v>444.00000000000006</v>
      </c>
      <c r="AC91" s="3">
        <f t="shared" si="112"/>
        <v>578.99999999999989</v>
      </c>
      <c r="AD91" s="3">
        <f t="shared" si="112"/>
        <v>660</v>
      </c>
      <c r="AE91" s="3">
        <f t="shared" si="112"/>
        <v>177.99999999999997</v>
      </c>
      <c r="AF91" s="3">
        <f t="shared" si="112"/>
        <v>234</v>
      </c>
      <c r="AG91" s="3">
        <f t="shared" si="112"/>
        <v>454</v>
      </c>
      <c r="AH91" s="3">
        <f t="shared" si="112"/>
        <v>621</v>
      </c>
      <c r="AI91" s="3">
        <f t="shared" si="112"/>
        <v>239</v>
      </c>
      <c r="AJ91" s="3">
        <f t="shared" si="112"/>
        <v>293.99999999999994</v>
      </c>
      <c r="AK91" s="3">
        <f t="shared" si="112"/>
        <v>231.99999999999997</v>
      </c>
      <c r="AL91" s="3">
        <f t="shared" si="112"/>
        <v>104</v>
      </c>
      <c r="AM91" s="3">
        <f t="shared" si="112"/>
        <v>1092</v>
      </c>
      <c r="AN91" s="3">
        <f t="shared" si="112"/>
        <v>1096</v>
      </c>
      <c r="AO91" s="3">
        <f t="shared" si="112"/>
        <v>448.00000000000006</v>
      </c>
      <c r="AP91" s="3">
        <f t="shared" si="112"/>
        <v>302</v>
      </c>
      <c r="AQ91" s="3">
        <f t="shared" si="112"/>
        <v>244</v>
      </c>
      <c r="AR91" s="3">
        <f t="shared" si="112"/>
        <v>65</v>
      </c>
      <c r="AS91" s="3">
        <f t="shared" si="112"/>
        <v>71</v>
      </c>
      <c r="AT91" s="3">
        <f t="shared" si="112"/>
        <v>54</v>
      </c>
      <c r="AU91" s="3">
        <f t="shared" si="112"/>
        <v>536</v>
      </c>
      <c r="AV91" s="3">
        <f t="shared" si="112"/>
        <v>179</v>
      </c>
      <c r="AW91" s="3">
        <f t="shared" si="112"/>
        <v>199</v>
      </c>
      <c r="AX91" s="3">
        <f t="shared" si="112"/>
        <v>463.99999999999994</v>
      </c>
      <c r="AY91" s="3">
        <f t="shared" si="112"/>
        <v>474</v>
      </c>
      <c r="AZ91" s="3">
        <f t="shared" si="112"/>
        <v>608</v>
      </c>
      <c r="BA91" s="3">
        <f t="shared" ref="BA91:BS91" si="113">(BA80*100+BA86)*BA82+BA85</f>
        <v>248</v>
      </c>
      <c r="BB91" s="3">
        <f t="shared" si="113"/>
        <v>239</v>
      </c>
      <c r="BC91" s="3">
        <f t="shared" si="113"/>
        <v>4554</v>
      </c>
      <c r="BD91" s="3">
        <f t="shared" si="113"/>
        <v>3304</v>
      </c>
      <c r="BE91" s="3">
        <f t="shared" si="113"/>
        <v>179</v>
      </c>
      <c r="BF91" s="3">
        <f t="shared" si="113"/>
        <v>549.00000000000011</v>
      </c>
      <c r="BG91" s="3">
        <f t="shared" si="113"/>
        <v>772</v>
      </c>
      <c r="BH91" s="3">
        <f t="shared" si="113"/>
        <v>419</v>
      </c>
      <c r="BI91" s="3">
        <f t="shared" si="113"/>
        <v>159</v>
      </c>
      <c r="BJ91" s="3">
        <f t="shared" si="113"/>
        <v>193</v>
      </c>
      <c r="BK91" s="3">
        <f t="shared" si="113"/>
        <v>298</v>
      </c>
      <c r="BL91" s="3">
        <f t="shared" si="113"/>
        <v>344</v>
      </c>
      <c r="BM91" s="3">
        <f t="shared" si="113"/>
        <v>204</v>
      </c>
      <c r="BN91" s="3">
        <f t="shared" si="113"/>
        <v>369</v>
      </c>
      <c r="BO91" s="3">
        <f t="shared" si="113"/>
        <v>383</v>
      </c>
      <c r="BP91" s="3">
        <f t="shared" si="113"/>
        <v>404</v>
      </c>
      <c r="BQ91" s="3">
        <f t="shared" si="113"/>
        <v>389</v>
      </c>
      <c r="BR91" s="3">
        <f t="shared" si="113"/>
        <v>3184</v>
      </c>
      <c r="BS91" s="3">
        <f t="shared" si="113"/>
        <v>3175</v>
      </c>
      <c r="BT91" s="3">
        <f t="shared" ref="BT91:CI91" si="114">(BT80*100+BT86)*BT82+BT85</f>
        <v>124</v>
      </c>
      <c r="BU91" s="3">
        <f t="shared" si="114"/>
        <v>1320</v>
      </c>
      <c r="BV91" s="3">
        <f t="shared" si="114"/>
        <v>608</v>
      </c>
      <c r="BW91" s="3">
        <f t="shared" si="114"/>
        <v>304</v>
      </c>
      <c r="BX91" s="3">
        <f t="shared" si="114"/>
        <v>62</v>
      </c>
      <c r="BY91" s="3">
        <f t="shared" si="114"/>
        <v>231.99999999999997</v>
      </c>
      <c r="BZ91" s="3">
        <f t="shared" si="114"/>
        <v>1290</v>
      </c>
      <c r="CA91" s="3">
        <f t="shared" si="114"/>
        <v>25</v>
      </c>
      <c r="CB91" s="3">
        <f t="shared" si="114"/>
        <v>15</v>
      </c>
      <c r="CC91" s="3">
        <f t="shared" si="114"/>
        <v>84.000000000000014</v>
      </c>
      <c r="CD91" s="3">
        <f t="shared" si="114"/>
        <v>3180</v>
      </c>
      <c r="CE91" s="3">
        <f t="shared" si="114"/>
        <v>30</v>
      </c>
      <c r="CF91" s="3">
        <f t="shared" si="114"/>
        <v>53</v>
      </c>
      <c r="CG91" s="3">
        <f t="shared" si="114"/>
        <v>2340</v>
      </c>
      <c r="CH91" s="3">
        <f t="shared" si="114"/>
        <v>2350</v>
      </c>
      <c r="CI91" s="3">
        <f t="shared" si="114"/>
        <v>644</v>
      </c>
      <c r="CJ91" s="3">
        <f t="shared" ref="CJ91:CY91" si="115">(CJ80*100+CJ86)*CJ82+CJ85</f>
        <v>1498</v>
      </c>
      <c r="CK91" s="3">
        <f t="shared" si="115"/>
        <v>1702</v>
      </c>
      <c r="CL91" s="3">
        <f t="shared" si="115"/>
        <v>314</v>
      </c>
      <c r="CM91" s="3">
        <f t="shared" si="115"/>
        <v>196</v>
      </c>
      <c r="CN91" s="3">
        <f t="shared" si="115"/>
        <v>153</v>
      </c>
      <c r="CO91" s="3">
        <f t="shared" si="115"/>
        <v>801</v>
      </c>
      <c r="CP91" s="3">
        <f t="shared" si="115"/>
        <v>804</v>
      </c>
      <c r="CQ91" s="3">
        <f t="shared" si="115"/>
        <v>202</v>
      </c>
      <c r="CR91" s="3">
        <f t="shared" si="115"/>
        <v>208</v>
      </c>
      <c r="CS91" s="3">
        <f t="shared" si="115"/>
        <v>269</v>
      </c>
      <c r="CT91" s="3">
        <f t="shared" si="115"/>
        <v>364</v>
      </c>
      <c r="CU91" s="3">
        <f t="shared" si="115"/>
        <v>300</v>
      </c>
      <c r="CV91" s="3">
        <f t="shared" si="115"/>
        <v>202</v>
      </c>
      <c r="CW91" s="3">
        <f t="shared" si="115"/>
        <v>298</v>
      </c>
      <c r="CX91" s="3">
        <f t="shared" si="115"/>
        <v>1205</v>
      </c>
      <c r="CY91" s="3">
        <f t="shared" si="115"/>
        <v>1230.0000000000002</v>
      </c>
      <c r="CZ91" s="3">
        <f t="shared" ref="CZ91:DE91" si="116">(CZ80*100+CZ86)*CZ82+CZ85</f>
        <v>35</v>
      </c>
      <c r="DA91" s="3">
        <f t="shared" si="116"/>
        <v>52</v>
      </c>
      <c r="DB91" s="3">
        <f t="shared" si="116"/>
        <v>9880</v>
      </c>
      <c r="DC91" s="3">
        <f t="shared" si="116"/>
        <v>85</v>
      </c>
      <c r="DD91" s="3">
        <f t="shared" si="116"/>
        <v>250</v>
      </c>
      <c r="DE91" s="3">
        <f t="shared" si="116"/>
        <v>1800</v>
      </c>
      <c r="DF91" s="3">
        <f t="shared" ref="DF91:EM91" si="117">(DF80*100+DF86)*DF82+DF85</f>
        <v>125</v>
      </c>
      <c r="DG91" s="3">
        <f t="shared" si="117"/>
        <v>140</v>
      </c>
      <c r="DH91" s="3">
        <f t="shared" si="117"/>
        <v>2645</v>
      </c>
      <c r="DI91" s="3">
        <f t="shared" si="117"/>
        <v>2640</v>
      </c>
      <c r="DJ91" s="3">
        <f t="shared" si="117"/>
        <v>1710</v>
      </c>
      <c r="DK91" s="3">
        <f t="shared" si="117"/>
        <v>4</v>
      </c>
      <c r="DL91" s="3">
        <f t="shared" si="117"/>
        <v>76</v>
      </c>
      <c r="DM91" s="3">
        <f t="shared" si="117"/>
        <v>67</v>
      </c>
      <c r="DN91" s="3">
        <f t="shared" si="117"/>
        <v>132</v>
      </c>
      <c r="DO91" s="3">
        <f t="shared" si="117"/>
        <v>8120</v>
      </c>
      <c r="DP91" s="3">
        <f t="shared" si="117"/>
        <v>9220</v>
      </c>
      <c r="DQ91" s="3">
        <f t="shared" si="117"/>
        <v>1040</v>
      </c>
      <c r="DR91" s="3">
        <f t="shared" si="117"/>
        <v>229.99999999999997</v>
      </c>
      <c r="DS91" s="3">
        <f t="shared" si="117"/>
        <v>227.99999999999997</v>
      </c>
      <c r="DT91" s="3">
        <f t="shared" si="117"/>
        <v>434</v>
      </c>
      <c r="DU91" s="3">
        <f t="shared" si="117"/>
        <v>40</v>
      </c>
      <c r="DV91" s="3">
        <f t="shared" si="117"/>
        <v>2580</v>
      </c>
      <c r="DW91" s="3">
        <f t="shared" si="117"/>
        <v>38</v>
      </c>
      <c r="DX91" s="3">
        <f t="shared" si="117"/>
        <v>425</v>
      </c>
      <c r="DY91" s="3">
        <f t="shared" si="117"/>
        <v>400</v>
      </c>
      <c r="DZ91" s="3">
        <f t="shared" si="117"/>
        <v>324</v>
      </c>
      <c r="EA91" s="3">
        <f t="shared" si="117"/>
        <v>470</v>
      </c>
      <c r="EB91" s="3">
        <f t="shared" si="117"/>
        <v>200</v>
      </c>
      <c r="EC91" s="3">
        <f t="shared" si="117"/>
        <v>409.99999999999994</v>
      </c>
      <c r="ED91" s="3">
        <f t="shared" si="117"/>
        <v>200</v>
      </c>
      <c r="EE91" s="3">
        <f t="shared" si="117"/>
        <v>160</v>
      </c>
      <c r="EF91" s="3">
        <f t="shared" si="117"/>
        <v>198</v>
      </c>
      <c r="EG91" s="3">
        <f t="shared" si="117"/>
        <v>460</v>
      </c>
      <c r="EH91" s="3">
        <f t="shared" si="117"/>
        <v>198</v>
      </c>
      <c r="EI91" s="3">
        <f t="shared" si="117"/>
        <v>400</v>
      </c>
      <c r="EJ91" s="3">
        <f t="shared" si="117"/>
        <v>1290</v>
      </c>
      <c r="EK91" s="3">
        <f t="shared" si="117"/>
        <v>600</v>
      </c>
      <c r="EL91" s="3">
        <f t="shared" si="117"/>
        <v>372</v>
      </c>
      <c r="EM91" s="3">
        <f t="shared" si="117"/>
        <v>56.000000000000007</v>
      </c>
      <c r="EN91" s="3">
        <f t="shared" ref="EN91:FQ91" si="118">(EN80*100+EN86)*EN82+EN85</f>
        <v>270</v>
      </c>
      <c r="EO91" s="3">
        <f t="shared" si="118"/>
        <v>50</v>
      </c>
      <c r="EP91" s="3">
        <f t="shared" si="118"/>
        <v>50</v>
      </c>
      <c r="EQ91" s="3">
        <f t="shared" si="118"/>
        <v>225</v>
      </c>
      <c r="ER91" s="3">
        <f t="shared" si="118"/>
        <v>375</v>
      </c>
      <c r="ES91" s="3">
        <f t="shared" si="118"/>
        <v>395</v>
      </c>
      <c r="ET91" s="3">
        <f t="shared" si="118"/>
        <v>183</v>
      </c>
      <c r="EU91" s="3">
        <f t="shared" si="118"/>
        <v>225</v>
      </c>
      <c r="EV91" s="3">
        <f t="shared" si="118"/>
        <v>210</v>
      </c>
      <c r="EW91" s="3">
        <f t="shared" si="118"/>
        <v>124</v>
      </c>
      <c r="EX91" s="3">
        <f t="shared" si="118"/>
        <v>252</v>
      </c>
      <c r="EY91" s="3">
        <f t="shared" si="118"/>
        <v>1200</v>
      </c>
      <c r="EZ91" s="3">
        <f t="shared" si="118"/>
        <v>66</v>
      </c>
      <c r="FA91" s="3">
        <f t="shared" si="118"/>
        <v>200</v>
      </c>
      <c r="FB91" s="3">
        <f t="shared" si="118"/>
        <v>790</v>
      </c>
      <c r="FC91" s="3">
        <f t="shared" si="118"/>
        <v>424</v>
      </c>
      <c r="FD91" s="3">
        <f t="shared" si="118"/>
        <v>117</v>
      </c>
      <c r="FE91" s="3">
        <f t="shared" si="118"/>
        <v>130</v>
      </c>
      <c r="FF91" s="3">
        <f t="shared" si="118"/>
        <v>1820</v>
      </c>
      <c r="FG91" s="3">
        <f t="shared" si="118"/>
        <v>255</v>
      </c>
      <c r="FH91" s="3">
        <f t="shared" si="118"/>
        <v>252</v>
      </c>
      <c r="FI91" s="3">
        <f t="shared" si="118"/>
        <v>1268</v>
      </c>
      <c r="FJ91" s="3">
        <f t="shared" si="118"/>
        <v>1196</v>
      </c>
      <c r="FK91" s="3">
        <f t="shared" si="118"/>
        <v>1650</v>
      </c>
      <c r="FL91" s="3">
        <f t="shared" si="118"/>
        <v>6324</v>
      </c>
      <c r="FM91" s="3">
        <f t="shared" si="118"/>
        <v>82</v>
      </c>
      <c r="FN91" s="3">
        <f t="shared" si="118"/>
        <v>300</v>
      </c>
      <c r="FO91" s="3">
        <f t="shared" si="118"/>
        <v>316</v>
      </c>
      <c r="FP91" s="3">
        <f t="shared" si="118"/>
        <v>308</v>
      </c>
      <c r="FQ91" s="3">
        <f t="shared" si="118"/>
        <v>325</v>
      </c>
      <c r="FR91" s="3">
        <f t="shared" ref="FR91:GQ91" si="119">(FR80*100+FR86)*FR82+FR85</f>
        <v>185</v>
      </c>
      <c r="FS91" s="3">
        <f t="shared" si="119"/>
        <v>294</v>
      </c>
      <c r="FT91" s="3">
        <f t="shared" si="119"/>
        <v>66</v>
      </c>
      <c r="FU91" s="3">
        <f t="shared" si="119"/>
        <v>25</v>
      </c>
      <c r="FV91" s="3">
        <f t="shared" si="119"/>
        <v>635</v>
      </c>
      <c r="FW91" s="3">
        <f t="shared" si="119"/>
        <v>120</v>
      </c>
      <c r="FX91" s="3">
        <f t="shared" si="119"/>
        <v>5180</v>
      </c>
      <c r="FY91" s="3">
        <f t="shared" si="119"/>
        <v>1330</v>
      </c>
      <c r="FZ91" s="3">
        <f t="shared" si="119"/>
        <v>45</v>
      </c>
      <c r="GA91" s="3">
        <f t="shared" si="119"/>
        <v>490</v>
      </c>
      <c r="GB91" s="3">
        <f t="shared" si="119"/>
        <v>588</v>
      </c>
      <c r="GC91" s="3">
        <f t="shared" si="119"/>
        <v>380</v>
      </c>
      <c r="GD91" s="3">
        <f t="shared" si="119"/>
        <v>100</v>
      </c>
      <c r="GE91" s="3">
        <f t="shared" si="119"/>
        <v>150</v>
      </c>
      <c r="GF91" s="3">
        <f t="shared" si="119"/>
        <v>215</v>
      </c>
      <c r="GG91" s="3">
        <f t="shared" si="119"/>
        <v>110.00000000000001</v>
      </c>
      <c r="GH91" s="3">
        <f t="shared" si="119"/>
        <v>1460</v>
      </c>
      <c r="GI91" s="3">
        <f t="shared" si="119"/>
        <v>8600</v>
      </c>
      <c r="GJ91" s="3">
        <f t="shared" si="119"/>
        <v>8600</v>
      </c>
      <c r="GK91" s="3">
        <f t="shared" si="119"/>
        <v>8400</v>
      </c>
      <c r="GL91" s="3">
        <f t="shared" si="119"/>
        <v>4725</v>
      </c>
      <c r="GM91" s="3">
        <f t="shared" si="119"/>
        <v>425</v>
      </c>
      <c r="GN91" s="3">
        <f t="shared" si="119"/>
        <v>903</v>
      </c>
      <c r="GO91" s="3">
        <f t="shared" si="119"/>
        <v>366</v>
      </c>
      <c r="GP91" s="3">
        <f t="shared" si="119"/>
        <v>520</v>
      </c>
      <c r="GQ91" s="3">
        <f t="shared" si="119"/>
        <v>268</v>
      </c>
      <c r="GR91" s="3">
        <f t="shared" ref="GR91:HO91" si="120">(GR80*100+GR86)*GR82+GR85</f>
        <v>225</v>
      </c>
      <c r="GS91" s="3">
        <f t="shared" si="120"/>
        <v>1050</v>
      </c>
      <c r="GT91" s="3">
        <f t="shared" si="120"/>
        <v>360</v>
      </c>
      <c r="GU91" s="3">
        <f t="shared" si="120"/>
        <v>2872</v>
      </c>
      <c r="GV91" s="3">
        <f t="shared" si="120"/>
        <v>216</v>
      </c>
      <c r="GW91" s="3">
        <f t="shared" si="120"/>
        <v>970</v>
      </c>
      <c r="GX91" s="3">
        <f t="shared" si="120"/>
        <v>205</v>
      </c>
      <c r="GY91" s="3">
        <f t="shared" si="120"/>
        <v>40</v>
      </c>
      <c r="GZ91" s="3">
        <f t="shared" si="120"/>
        <v>208</v>
      </c>
      <c r="HA91" s="3">
        <f t="shared" si="120"/>
        <v>1789.9999999999998</v>
      </c>
      <c r="HB91" s="3">
        <f t="shared" si="120"/>
        <v>300</v>
      </c>
      <c r="HC91" s="3">
        <f t="shared" si="120"/>
        <v>24775</v>
      </c>
      <c r="HD91" s="3">
        <f t="shared" si="120"/>
        <v>207</v>
      </c>
      <c r="HE91" s="3">
        <f t="shared" si="120"/>
        <v>2205</v>
      </c>
      <c r="HF91" s="3">
        <f t="shared" si="120"/>
        <v>9005</v>
      </c>
      <c r="HG91" s="3">
        <f t="shared" si="120"/>
        <v>1189</v>
      </c>
      <c r="HH91" s="3">
        <f t="shared" si="120"/>
        <v>221</v>
      </c>
      <c r="HI91" s="3">
        <f t="shared" si="120"/>
        <v>43</v>
      </c>
      <c r="HJ91" s="3">
        <f t="shared" si="120"/>
        <v>29</v>
      </c>
      <c r="HK91" s="3">
        <f t="shared" si="120"/>
        <v>185</v>
      </c>
      <c r="HL91" s="3">
        <f t="shared" si="120"/>
        <v>41</v>
      </c>
      <c r="HM91" s="3">
        <f t="shared" si="120"/>
        <v>5155</v>
      </c>
      <c r="HN91" s="3">
        <f t="shared" si="120"/>
        <v>103</v>
      </c>
      <c r="HO91" s="3">
        <f t="shared" si="120"/>
        <v>435</v>
      </c>
      <c r="HP91" s="3">
        <f t="shared" ref="HP91:HV91" si="121">(HP80*100+HP86)*HP82+HP85</f>
        <v>332.00000000000006</v>
      </c>
      <c r="HQ91" s="3">
        <f t="shared" si="121"/>
        <v>3425.0000000000005</v>
      </c>
      <c r="HR91" s="3">
        <f t="shared" si="121"/>
        <v>9835</v>
      </c>
      <c r="HS91" s="3">
        <f t="shared" si="121"/>
        <v>443</v>
      </c>
      <c r="HT91" s="3">
        <f t="shared" si="121"/>
        <v>315</v>
      </c>
      <c r="HU91" s="3">
        <f t="shared" si="121"/>
        <v>5285</v>
      </c>
      <c r="HV91" s="3">
        <f t="shared" si="121"/>
        <v>1445</v>
      </c>
      <c r="HW91" s="3">
        <f t="shared" ref="HW91:IC91" si="122">(HW80*100+HW86)*HW82+HW85</f>
        <v>139</v>
      </c>
      <c r="HX91" s="3">
        <f t="shared" si="122"/>
        <v>425</v>
      </c>
      <c r="HY91" s="3">
        <f t="shared" si="122"/>
        <v>5705</v>
      </c>
      <c r="HZ91" s="3">
        <f t="shared" si="122"/>
        <v>2645</v>
      </c>
      <c r="IA91" s="3">
        <f t="shared" si="122"/>
        <v>181</v>
      </c>
      <c r="IB91" s="3">
        <f t="shared" si="122"/>
        <v>300</v>
      </c>
      <c r="IC91" s="3">
        <f t="shared" si="122"/>
        <v>69</v>
      </c>
      <c r="ID91" s="3">
        <f t="shared" ref="ID91:II91" si="123">(ID80*100+ID86)*ID82+ID85</f>
        <v>565</v>
      </c>
      <c r="IE91" s="3">
        <f t="shared" si="123"/>
        <v>100</v>
      </c>
      <c r="IF91" s="3">
        <f t="shared" si="123"/>
        <v>735</v>
      </c>
      <c r="IG91" s="3">
        <f t="shared" si="123"/>
        <v>3685</v>
      </c>
      <c r="IH91" s="3">
        <f t="shared" si="123"/>
        <v>1019.9999999999999</v>
      </c>
      <c r="II91" s="3">
        <f t="shared" si="123"/>
        <v>1705</v>
      </c>
      <c r="IJ91" s="3">
        <f t="shared" ref="IJ91:IO91" si="124">(IJ80*100+IJ86)*IJ82+IJ85</f>
        <v>265</v>
      </c>
      <c r="IK91" s="3">
        <f t="shared" si="124"/>
        <v>3005</v>
      </c>
      <c r="IL91" s="3">
        <f t="shared" si="124"/>
        <v>293</v>
      </c>
      <c r="IM91" s="3">
        <f t="shared" si="124"/>
        <v>44</v>
      </c>
      <c r="IN91" s="3">
        <f t="shared" si="124"/>
        <v>305</v>
      </c>
      <c r="IO91" s="3">
        <f t="shared" si="124"/>
        <v>337</v>
      </c>
      <c r="IP91" s="3">
        <f t="shared" ref="IP91:IV91" si="125">(IP80*100+IP86)*IP82+IP85</f>
        <v>35</v>
      </c>
      <c r="IQ91" s="3">
        <f t="shared" si="125"/>
        <v>1655</v>
      </c>
      <c r="IR91" s="3">
        <f t="shared" si="125"/>
        <v>123</v>
      </c>
      <c r="IS91" s="3">
        <f t="shared" si="125"/>
        <v>1655</v>
      </c>
      <c r="IT91" s="3">
        <f t="shared" si="125"/>
        <v>2885</v>
      </c>
      <c r="IU91" s="3">
        <f t="shared" si="125"/>
        <v>3560</v>
      </c>
      <c r="IV91" s="3">
        <f t="shared" si="125"/>
        <v>4425</v>
      </c>
      <c r="IW91" s="3">
        <f t="shared" ref="IW91:JL91" si="126">(IW80*100+IW86)*IW82+IW85</f>
        <v>6440</v>
      </c>
      <c r="IX91" s="3">
        <f t="shared" si="126"/>
        <v>95</v>
      </c>
      <c r="IY91" s="3">
        <f t="shared" si="126"/>
        <v>189</v>
      </c>
      <c r="IZ91" s="3">
        <f t="shared" si="126"/>
        <v>802.99999999999989</v>
      </c>
      <c r="JA91" s="3">
        <f t="shared" si="126"/>
        <v>72</v>
      </c>
      <c r="JB91" s="3">
        <f t="shared" si="126"/>
        <v>1525</v>
      </c>
      <c r="JC91" s="3">
        <f t="shared" si="126"/>
        <v>685</v>
      </c>
      <c r="JD91" s="3">
        <f t="shared" si="126"/>
        <v>685</v>
      </c>
      <c r="JE91" s="3">
        <f t="shared" si="126"/>
        <v>279</v>
      </c>
      <c r="JF91" s="3">
        <f t="shared" si="126"/>
        <v>149</v>
      </c>
      <c r="JG91" s="3">
        <f t="shared" si="126"/>
        <v>590</v>
      </c>
      <c r="JH91" s="3">
        <f t="shared" si="126"/>
        <v>275</v>
      </c>
      <c r="JI91" s="3">
        <f t="shared" si="126"/>
        <v>800</v>
      </c>
      <c r="JJ91" s="3">
        <f t="shared" si="126"/>
        <v>490</v>
      </c>
      <c r="JK91" s="3">
        <f t="shared" si="126"/>
        <v>3696</v>
      </c>
      <c r="JL91" s="3">
        <f t="shared" si="126"/>
        <v>260</v>
      </c>
      <c r="JM91" s="3">
        <f t="shared" ref="JM91:JW91" si="127">(JM80*100+JM86)*JM82+JM85</f>
        <v>403</v>
      </c>
      <c r="JN91" s="3">
        <f t="shared" si="127"/>
        <v>1265</v>
      </c>
      <c r="JO91" s="3">
        <f t="shared" si="127"/>
        <v>509</v>
      </c>
      <c r="JP91" s="3">
        <f t="shared" si="127"/>
        <v>261</v>
      </c>
      <c r="JQ91" s="3">
        <f t="shared" si="127"/>
        <v>270</v>
      </c>
      <c r="JR91" s="3">
        <f t="shared" si="127"/>
        <v>40</v>
      </c>
      <c r="JS91" s="3">
        <f t="shared" si="127"/>
        <v>1455</v>
      </c>
      <c r="JT91" s="3">
        <f t="shared" si="127"/>
        <v>144</v>
      </c>
      <c r="JU91" s="3">
        <f t="shared" si="127"/>
        <v>1212</v>
      </c>
      <c r="JV91" s="3">
        <f t="shared" si="127"/>
        <v>138</v>
      </c>
      <c r="JW91" s="3">
        <f t="shared" si="127"/>
        <v>1300</v>
      </c>
      <c r="JX91" s="3">
        <f t="shared" ref="JX91:KE91" si="128">(JX80*100+JX86)*JX82+JX85</f>
        <v>3792</v>
      </c>
      <c r="JY91" s="3">
        <f t="shared" si="128"/>
        <v>44</v>
      </c>
      <c r="JZ91" s="3">
        <f t="shared" si="128"/>
        <v>188</v>
      </c>
      <c r="KA91" s="3">
        <f t="shared" si="128"/>
        <v>600</v>
      </c>
      <c r="KB91" s="3">
        <f t="shared" si="128"/>
        <v>296</v>
      </c>
      <c r="KC91" s="3">
        <f t="shared" si="128"/>
        <v>96</v>
      </c>
      <c r="KD91" s="3">
        <f t="shared" si="128"/>
        <v>1692</v>
      </c>
      <c r="KE91" s="3">
        <f t="shared" si="128"/>
        <v>1295</v>
      </c>
      <c r="KF91" s="3">
        <f t="shared" ref="KF91:KL91" si="129">(KF80*100+KF86)*KF82+KF85</f>
        <v>130</v>
      </c>
      <c r="KG91" s="3">
        <f t="shared" si="129"/>
        <v>40</v>
      </c>
      <c r="KH91" s="3">
        <f t="shared" si="129"/>
        <v>1295</v>
      </c>
      <c r="KI91" s="3">
        <f t="shared" si="129"/>
        <v>680</v>
      </c>
      <c r="KJ91" s="3">
        <f t="shared" si="129"/>
        <v>60</v>
      </c>
      <c r="KK91" s="3">
        <f t="shared" si="129"/>
        <v>38</v>
      </c>
      <c r="KL91" s="3">
        <f t="shared" si="129"/>
        <v>47</v>
      </c>
      <c r="KM91" s="3">
        <f t="shared" ref="KM91:KR91" si="130">(KM80*100+KM86)*KM82+KM85</f>
        <v>372</v>
      </c>
      <c r="KN91" s="3">
        <f t="shared" si="130"/>
        <v>200</v>
      </c>
      <c r="KO91" s="3">
        <f t="shared" si="130"/>
        <v>262</v>
      </c>
      <c r="KP91" s="3">
        <f t="shared" si="130"/>
        <v>5</v>
      </c>
      <c r="KQ91" s="3">
        <f t="shared" si="130"/>
        <v>12</v>
      </c>
      <c r="KR91" s="3">
        <f t="shared" si="130"/>
        <v>228</v>
      </c>
      <c r="KS91" s="3">
        <f t="shared" ref="KS91:MS91" si="131">(KS80*100+KS86)*KS82+KS85</f>
        <v>372</v>
      </c>
      <c r="KT91" s="3">
        <f t="shared" si="131"/>
        <v>6400</v>
      </c>
      <c r="KU91" s="3">
        <f t="shared" si="131"/>
        <v>228</v>
      </c>
      <c r="KV91" s="3">
        <f t="shared" si="131"/>
        <v>4650</v>
      </c>
      <c r="KW91" s="3">
        <f t="shared" si="131"/>
        <v>918</v>
      </c>
      <c r="KX91" s="3">
        <f t="shared" si="131"/>
        <v>1340</v>
      </c>
      <c r="KY91" s="3">
        <f t="shared" si="131"/>
        <v>88</v>
      </c>
      <c r="KZ91" s="3">
        <f t="shared" si="131"/>
        <v>450</v>
      </c>
      <c r="LA91" s="3">
        <f t="shared" si="131"/>
        <v>7334.9999999999991</v>
      </c>
      <c r="LB91" s="3">
        <f t="shared" si="131"/>
        <v>1284</v>
      </c>
      <c r="LC91" s="3">
        <f t="shared" si="131"/>
        <v>6975.0000000000009</v>
      </c>
      <c r="LD91" s="3">
        <f t="shared" si="131"/>
        <v>3050</v>
      </c>
      <c r="LE91" s="3">
        <f t="shared" si="131"/>
        <v>160</v>
      </c>
      <c r="LF91" s="3">
        <f t="shared" si="131"/>
        <v>660</v>
      </c>
      <c r="LG91" s="3">
        <f t="shared" si="131"/>
        <v>420</v>
      </c>
      <c r="LH91" s="3">
        <f t="shared" si="131"/>
        <v>324</v>
      </c>
      <c r="LI91" s="3">
        <f t="shared" si="131"/>
        <v>425</v>
      </c>
      <c r="LJ91" s="3">
        <f t="shared" si="131"/>
        <v>3930</v>
      </c>
      <c r="LK91" s="3">
        <f t="shared" si="131"/>
        <v>1529.9999999999998</v>
      </c>
      <c r="LL91" s="3">
        <f t="shared" si="131"/>
        <v>278</v>
      </c>
      <c r="LM91" s="3">
        <f t="shared" si="131"/>
        <v>9240</v>
      </c>
      <c r="LN91" s="3">
        <f t="shared" si="131"/>
        <v>168.00000000000003</v>
      </c>
      <c r="LO91" s="3">
        <f t="shared" si="131"/>
        <v>2310</v>
      </c>
      <c r="LP91" s="3">
        <f t="shared" si="131"/>
        <v>2835</v>
      </c>
      <c r="LQ91" s="3">
        <f t="shared" si="131"/>
        <v>57.999999999999993</v>
      </c>
      <c r="LR91" s="3">
        <f t="shared" si="131"/>
        <v>1690</v>
      </c>
      <c r="LS91" s="3">
        <f t="shared" si="131"/>
        <v>120</v>
      </c>
      <c r="LT91" s="3">
        <f t="shared" si="131"/>
        <v>1200</v>
      </c>
      <c r="LU91" s="3">
        <f t="shared" si="131"/>
        <v>920</v>
      </c>
      <c r="LV91" s="3">
        <f t="shared" si="131"/>
        <v>2275</v>
      </c>
      <c r="LW91" s="3">
        <f t="shared" si="131"/>
        <v>1477</v>
      </c>
      <c r="LX91" s="3">
        <f t="shared" si="131"/>
        <v>598.25</v>
      </c>
      <c r="LY91" s="3">
        <f t="shared" si="131"/>
        <v>189.5</v>
      </c>
      <c r="LZ91" s="3">
        <f t="shared" si="131"/>
        <v>5458.25</v>
      </c>
      <c r="MA91" s="3">
        <f t="shared" si="131"/>
        <v>618.25</v>
      </c>
      <c r="MB91" s="3">
        <f t="shared" si="131"/>
        <v>3298</v>
      </c>
      <c r="MC91" s="3">
        <f t="shared" si="131"/>
        <v>353.25</v>
      </c>
      <c r="MD91" s="3">
        <f t="shared" si="131"/>
        <v>16319.5</v>
      </c>
      <c r="ME91" s="3">
        <f t="shared" si="131"/>
        <v>9443.25</v>
      </c>
      <c r="MF91" s="3">
        <f t="shared" si="131"/>
        <v>10418.25</v>
      </c>
      <c r="MG91" s="3">
        <f t="shared" si="131"/>
        <v>33.5</v>
      </c>
      <c r="MH91" s="3">
        <f t="shared" si="131"/>
        <v>772</v>
      </c>
      <c r="MI91" s="3">
        <f t="shared" si="131"/>
        <v>1529.5</v>
      </c>
      <c r="MJ91" s="3">
        <f t="shared" si="131"/>
        <v>3824.5</v>
      </c>
      <c r="MK91" s="3">
        <f t="shared" si="131"/>
        <v>3854.5</v>
      </c>
      <c r="ML91" s="3">
        <f t="shared" si="131"/>
        <v>1126</v>
      </c>
      <c r="MM91" s="3">
        <f t="shared" si="131"/>
        <v>3113.25</v>
      </c>
      <c r="MN91" s="3">
        <f t="shared" si="131"/>
        <v>1798</v>
      </c>
      <c r="MO91" s="3">
        <f t="shared" si="131"/>
        <v>2804.5000000000005</v>
      </c>
      <c r="MP91" s="3">
        <f t="shared" si="131"/>
        <v>4975.75</v>
      </c>
      <c r="MQ91" s="3">
        <f t="shared" si="131"/>
        <v>281.25</v>
      </c>
      <c r="MR91" s="3">
        <f t="shared" si="131"/>
        <v>1232</v>
      </c>
      <c r="MS91" s="3">
        <f t="shared" si="131"/>
        <v>4941.9999999999991</v>
      </c>
    </row>
    <row r="92" spans="1:357" x14ac:dyDescent="0.35">
      <c r="C92" t="s">
        <v>69</v>
      </c>
      <c r="E92" s="49">
        <f t="shared" ref="E92:F92" si="132">2*(E85+E82*E86)/( (E81-E80)*100*E82 )</f>
        <v>0.20512820512820512</v>
      </c>
      <c r="F92" s="49">
        <f t="shared" si="132"/>
        <v>0.53333333333333288</v>
      </c>
      <c r="G92" s="49">
        <f t="shared" ref="G92:I92" si="133">2*(G85+G82*G86)/( (G81-G80)*100*G82 )</f>
        <v>0.20512820512820512</v>
      </c>
      <c r="H92" s="49">
        <f t="shared" ref="H92" si="134">2*(H85+H82*H86)/( (H81-H80)*100*H82 )</f>
        <v>0.12307692307692308</v>
      </c>
      <c r="I92" s="49">
        <f t="shared" si="133"/>
        <v>0.18181818181818182</v>
      </c>
      <c r="J92" s="49">
        <f t="shared" ref="J92:AZ92" si="135">2*(J85+J82*J86)/( (J81-J80)*100*J82 )</f>
        <v>0.38095238095238104</v>
      </c>
      <c r="K92" s="49">
        <f t="shared" si="135"/>
        <v>0.40000000000000008</v>
      </c>
      <c r="L92" s="49">
        <f t="shared" si="135"/>
        <v>3.2653061224489827E-2</v>
      </c>
      <c r="M92" s="49">
        <f t="shared" si="135"/>
        <v>0.17777777777777778</v>
      </c>
      <c r="N92" s="49">
        <f t="shared" si="135"/>
        <v>4.4444444444444411E-2</v>
      </c>
      <c r="O92" s="49">
        <f t="shared" si="135"/>
        <v>0.24999999999999994</v>
      </c>
      <c r="P92" s="49">
        <f t="shared" si="135"/>
        <v>0.19047619047619044</v>
      </c>
      <c r="Q92" s="49">
        <f t="shared" si="135"/>
        <v>0.22857142857142881</v>
      </c>
      <c r="R92" s="49">
        <f t="shared" si="135"/>
        <v>0.20000000000000004</v>
      </c>
      <c r="S92" s="49">
        <f t="shared" si="135"/>
        <v>9.3023255813953556E-2</v>
      </c>
      <c r="T92" s="49">
        <f t="shared" si="135"/>
        <v>0.22222222222222257</v>
      </c>
      <c r="U92" s="49">
        <f t="shared" si="135"/>
        <v>0.15686274509803927</v>
      </c>
      <c r="V92" s="49">
        <f t="shared" si="135"/>
        <v>9.3023255813953556E-2</v>
      </c>
      <c r="W92" s="49">
        <f t="shared" si="135"/>
        <v>0.66666666666666663</v>
      </c>
      <c r="X92" s="49">
        <f t="shared" si="135"/>
        <v>0.21052631578947376</v>
      </c>
      <c r="Y92" s="49">
        <f t="shared" si="135"/>
        <v>7.8431372549019607E-2</v>
      </c>
      <c r="Z92" s="49">
        <f t="shared" si="135"/>
        <v>5.9259259259259262E-2</v>
      </c>
      <c r="AA92" s="49">
        <f t="shared" si="135"/>
        <v>0.29629629629629606</v>
      </c>
      <c r="AB92" s="49">
        <f t="shared" si="135"/>
        <v>0.10958904109589047</v>
      </c>
      <c r="AC92" s="49">
        <f t="shared" si="135"/>
        <v>2.6666666666666661E-2</v>
      </c>
      <c r="AD92" s="49">
        <f t="shared" si="135"/>
        <v>0.18181818181818163</v>
      </c>
      <c r="AE92" s="49">
        <f t="shared" si="135"/>
        <v>0.17777777777777776</v>
      </c>
      <c r="AF92" s="49">
        <f t="shared" si="135"/>
        <v>0.19999999999999996</v>
      </c>
      <c r="AG92" s="49">
        <f t="shared" si="135"/>
        <v>0.19999999999999982</v>
      </c>
      <c r="AH92" s="49">
        <f t="shared" si="135"/>
        <v>6.0150375939849621E-2</v>
      </c>
      <c r="AI92" s="49">
        <f t="shared" si="135"/>
        <v>0.72727272727272807</v>
      </c>
      <c r="AJ92" s="49">
        <f t="shared" si="135"/>
        <v>0.31999999999999973</v>
      </c>
      <c r="AK92" s="49">
        <f t="shared" si="135"/>
        <v>0.39999999999999963</v>
      </c>
      <c r="AL92" s="49">
        <f t="shared" si="135"/>
        <v>0.20000000000000004</v>
      </c>
      <c r="AM92" s="49">
        <f t="shared" si="135"/>
        <v>2.9411764705882366E-2</v>
      </c>
      <c r="AN92" s="49">
        <f t="shared" si="135"/>
        <v>3.5087719298245626E-2</v>
      </c>
      <c r="AO92" s="49">
        <f t="shared" si="135"/>
        <v>0.16666666666666682</v>
      </c>
      <c r="AP92" s="49">
        <f t="shared" si="135"/>
        <v>7.8431372549019607E-2</v>
      </c>
      <c r="AQ92" s="49">
        <f t="shared" si="135"/>
        <v>0.26666666666666644</v>
      </c>
      <c r="AR92" s="49">
        <f t="shared" si="135"/>
        <v>0.18604651162790695</v>
      </c>
      <c r="AS92" s="49">
        <f t="shared" si="135"/>
        <v>0.28571428571428581</v>
      </c>
      <c r="AT92" s="49">
        <f t="shared" si="135"/>
        <v>5.3333333333333337E-2</v>
      </c>
      <c r="AU92" s="49">
        <f t="shared" si="135"/>
        <v>0.12500000000000006</v>
      </c>
      <c r="AV92" s="49">
        <f t="shared" si="135"/>
        <v>6.6666666666666652E-2</v>
      </c>
      <c r="AW92" s="49">
        <f t="shared" si="135"/>
        <v>7.4074074074074084E-2</v>
      </c>
      <c r="AX92" s="49">
        <f t="shared" si="135"/>
        <v>0.11428571428571427</v>
      </c>
      <c r="AY92" s="49">
        <f t="shared" si="135"/>
        <v>0.14814814814814814</v>
      </c>
      <c r="AZ92" s="49">
        <f t="shared" si="135"/>
        <v>3.333333333333334E-2</v>
      </c>
      <c r="BA92" s="49">
        <f t="shared" ref="BA92:BS92" si="136">2*(BA85+BA82*BA86)/( (BA81-BA80)*100*BA82 )</f>
        <v>0.10526315789473681</v>
      </c>
      <c r="BB92" s="49">
        <f t="shared" si="136"/>
        <v>5.9259259259259262E-2</v>
      </c>
      <c r="BC92" s="49">
        <f t="shared" si="136"/>
        <v>5.7142857142857099E-2</v>
      </c>
      <c r="BD92" s="49">
        <f t="shared" si="136"/>
        <v>0.15999999999999914</v>
      </c>
      <c r="BE92" s="49">
        <f t="shared" si="136"/>
        <v>0.19999999999999996</v>
      </c>
      <c r="BF92" s="49">
        <f t="shared" si="136"/>
        <v>4.1025641025641033E-2</v>
      </c>
      <c r="BG92" s="49">
        <f t="shared" si="136"/>
        <v>6.3492063492063502E-2</v>
      </c>
      <c r="BH92" s="49">
        <f t="shared" si="136"/>
        <v>7.9999999999999974E-2</v>
      </c>
      <c r="BI92" s="49">
        <f t="shared" si="136"/>
        <v>0.1066666666666667</v>
      </c>
      <c r="BJ92" s="49">
        <f t="shared" si="136"/>
        <v>0.14285714285714279</v>
      </c>
      <c r="BK92" s="49">
        <f t="shared" si="136"/>
        <v>3.5398230088495568E-2</v>
      </c>
      <c r="BL92" s="49">
        <f t="shared" si="136"/>
        <v>7.999999999999996E-2</v>
      </c>
      <c r="BM92" s="49">
        <f t="shared" si="136"/>
        <v>-8.8888888888888878E-2</v>
      </c>
      <c r="BN92" s="49">
        <f t="shared" si="136"/>
        <v>0.2285714285714284</v>
      </c>
      <c r="BO92" s="49">
        <f t="shared" si="136"/>
        <v>0.18604651162790711</v>
      </c>
      <c r="BP92" s="49">
        <f t="shared" si="136"/>
        <v>0.26666666666666683</v>
      </c>
      <c r="BQ92" s="49">
        <f t="shared" si="136"/>
        <v>0.40000000000000058</v>
      </c>
      <c r="BR92" s="49">
        <f t="shared" si="136"/>
        <v>0.17777777777777806</v>
      </c>
      <c r="BS92" s="49">
        <f t="shared" si="136"/>
        <v>0</v>
      </c>
      <c r="BT92" s="49">
        <f t="shared" ref="BT92:CI92" si="137">2*(BT85+BT82*BT86)/( (BT81-BT80)*100*BT82 )</f>
        <v>0</v>
      </c>
      <c r="BU92" s="49">
        <f t="shared" si="137"/>
        <v>0</v>
      </c>
      <c r="BV92" s="49">
        <f t="shared" si="137"/>
        <v>0</v>
      </c>
      <c r="BW92" s="49">
        <f t="shared" si="137"/>
        <v>0</v>
      </c>
      <c r="BX92" s="49">
        <f t="shared" si="137"/>
        <v>0</v>
      </c>
      <c r="BY92" s="49">
        <f t="shared" si="137"/>
        <v>0</v>
      </c>
      <c r="BZ92" s="49">
        <f t="shared" si="137"/>
        <v>0</v>
      </c>
      <c r="CA92" s="49">
        <f t="shared" si="137"/>
        <v>0</v>
      </c>
      <c r="CB92" s="49">
        <f t="shared" si="137"/>
        <v>0</v>
      </c>
      <c r="CC92" s="49">
        <f t="shared" si="137"/>
        <v>0</v>
      </c>
      <c r="CD92" s="49">
        <f t="shared" si="137"/>
        <v>0</v>
      </c>
      <c r="CE92" s="49">
        <f t="shared" si="137"/>
        <v>0</v>
      </c>
      <c r="CF92" s="49">
        <f t="shared" si="137"/>
        <v>0</v>
      </c>
      <c r="CG92" s="49">
        <f t="shared" si="137"/>
        <v>0</v>
      </c>
      <c r="CH92" s="49">
        <f t="shared" si="137"/>
        <v>0</v>
      </c>
      <c r="CI92" s="49">
        <f t="shared" si="137"/>
        <v>0.10000000000000002</v>
      </c>
      <c r="CJ92" s="49">
        <f t="shared" ref="CJ92:CY92" si="138">2*(CJ85+CJ82*CJ86)/( (CJ81-CJ80)*100*CJ82 )</f>
        <v>0.14285714285714274</v>
      </c>
      <c r="CK92" s="49">
        <f t="shared" si="138"/>
        <v>0.36363636363636553</v>
      </c>
      <c r="CL92" s="49">
        <f t="shared" si="138"/>
        <v>0.11428571428571427</v>
      </c>
      <c r="CM92" s="49">
        <f t="shared" si="138"/>
        <v>0.22222222222222221</v>
      </c>
      <c r="CN92" s="49">
        <f t="shared" si="138"/>
        <v>0.2857142857142857</v>
      </c>
      <c r="CO92" s="49">
        <f t="shared" si="138"/>
        <v>0.24242424242424168</v>
      </c>
      <c r="CP92" s="49">
        <f t="shared" si="138"/>
        <v>0.26666666666666605</v>
      </c>
      <c r="CQ92" s="49">
        <f t="shared" si="138"/>
        <v>0.10526315789473681</v>
      </c>
      <c r="CR92" s="49">
        <f t="shared" si="138"/>
        <v>0.11428571428571427</v>
      </c>
      <c r="CS92" s="49">
        <f t="shared" si="138"/>
        <v>0.14545454545454539</v>
      </c>
      <c r="CT92" s="49">
        <f t="shared" si="138"/>
        <v>0.26666666666666683</v>
      </c>
      <c r="CU92" s="49">
        <f t="shared" si="138"/>
        <v>6.8965517241379296E-2</v>
      </c>
      <c r="CV92" s="49">
        <f t="shared" si="138"/>
        <v>7.1428571428571425E-2</v>
      </c>
      <c r="CW92" s="49">
        <f t="shared" si="138"/>
        <v>0.79999999999999927</v>
      </c>
      <c r="CX92" s="49">
        <f t="shared" si="138"/>
        <v>3.3333333333333326E-2</v>
      </c>
      <c r="CY92" s="49">
        <f t="shared" si="138"/>
        <v>3.6363636363636369E-2</v>
      </c>
      <c r="CZ92" s="49">
        <f t="shared" ref="CZ92:DE92" si="139">2*(CZ85+CZ82*CZ86)/( (CZ81-CZ80)*100*CZ82 )</f>
        <v>1.9230769230769232E-2</v>
      </c>
      <c r="DA92" s="49">
        <f t="shared" si="139"/>
        <v>8.8888888888888892E-2</v>
      </c>
      <c r="DB92" s="49">
        <f t="shared" si="139"/>
        <v>0</v>
      </c>
      <c r="DC92" s="49">
        <f t="shared" si="139"/>
        <v>0.04</v>
      </c>
      <c r="DD92" s="49">
        <f t="shared" si="139"/>
        <v>0</v>
      </c>
      <c r="DE92" s="49">
        <f t="shared" si="139"/>
        <v>0</v>
      </c>
      <c r="DF92" s="49">
        <f t="shared" ref="DF92:EM92" si="140">2*(DF85+DF82*DF86)/( (DF81-DF80)*100*DF82 )</f>
        <v>0</v>
      </c>
      <c r="DG92" s="49">
        <f t="shared" si="140"/>
        <v>0.2</v>
      </c>
      <c r="DH92" s="49">
        <f t="shared" si="140"/>
        <v>1.6666666666666666E-2</v>
      </c>
      <c r="DI92" s="49">
        <f t="shared" si="140"/>
        <v>0</v>
      </c>
      <c r="DJ92" s="49">
        <f t="shared" si="140"/>
        <v>0</v>
      </c>
      <c r="DK92" s="49">
        <f t="shared" si="140"/>
        <v>0</v>
      </c>
      <c r="DL92" s="49">
        <f t="shared" si="140"/>
        <v>0</v>
      </c>
      <c r="DM92" s="49">
        <f t="shared" si="140"/>
        <v>0</v>
      </c>
      <c r="DN92" s="49">
        <f t="shared" si="140"/>
        <v>0</v>
      </c>
      <c r="DO92" s="49">
        <f t="shared" si="140"/>
        <v>0</v>
      </c>
      <c r="DP92" s="49">
        <f t="shared" si="140"/>
        <v>0</v>
      </c>
      <c r="DQ92" s="49">
        <f t="shared" si="140"/>
        <v>0</v>
      </c>
      <c r="DR92" s="49">
        <f t="shared" si="140"/>
        <v>0</v>
      </c>
      <c r="DS92" s="49">
        <f t="shared" si="140"/>
        <v>0</v>
      </c>
      <c r="DT92" s="49">
        <f t="shared" si="140"/>
        <v>0</v>
      </c>
      <c r="DU92" s="49">
        <f t="shared" si="140"/>
        <v>0</v>
      </c>
      <c r="DV92" s="49">
        <f t="shared" si="140"/>
        <v>0</v>
      </c>
      <c r="DW92" s="49">
        <f t="shared" si="140"/>
        <v>0</v>
      </c>
      <c r="DX92" s="49">
        <f t="shared" si="140"/>
        <v>0</v>
      </c>
      <c r="DY92" s="49">
        <f t="shared" si="140"/>
        <v>0</v>
      </c>
      <c r="DZ92" s="49">
        <f t="shared" si="140"/>
        <v>0</v>
      </c>
      <c r="EA92" s="49">
        <f t="shared" si="140"/>
        <v>0</v>
      </c>
      <c r="EB92" s="49">
        <f t="shared" si="140"/>
        <v>0</v>
      </c>
      <c r="EC92" s="49">
        <f t="shared" si="140"/>
        <v>0</v>
      </c>
      <c r="ED92" s="49">
        <f t="shared" si="140"/>
        <v>0</v>
      </c>
      <c r="EE92" s="49">
        <f t="shared" si="140"/>
        <v>0</v>
      </c>
      <c r="EF92" s="49">
        <f t="shared" si="140"/>
        <v>0</v>
      </c>
      <c r="EG92" s="49">
        <f t="shared" si="140"/>
        <v>0</v>
      </c>
      <c r="EH92" s="49">
        <f t="shared" si="140"/>
        <v>0</v>
      </c>
      <c r="EI92" s="49">
        <f t="shared" si="140"/>
        <v>0</v>
      </c>
      <c r="EJ92" s="49">
        <f t="shared" si="140"/>
        <v>0</v>
      </c>
      <c r="EK92" s="49">
        <f t="shared" si="140"/>
        <v>0</v>
      </c>
      <c r="EL92" s="49" t="e">
        <f t="shared" si="140"/>
        <v>#DIV/0!</v>
      </c>
      <c r="EM92" s="49">
        <f t="shared" si="140"/>
        <v>0</v>
      </c>
      <c r="EN92" s="49">
        <f t="shared" ref="EN92:FQ92" si="141">2*(EN85+EN82*EN86)/( (EN81-EN80)*100*EN82 )</f>
        <v>0</v>
      </c>
      <c r="EO92" s="49">
        <f t="shared" si="141"/>
        <v>0</v>
      </c>
      <c r="EP92" s="49">
        <f t="shared" si="141"/>
        <v>0</v>
      </c>
      <c r="EQ92" s="49">
        <f t="shared" si="141"/>
        <v>0</v>
      </c>
      <c r="ER92" s="49">
        <f t="shared" si="141"/>
        <v>0</v>
      </c>
      <c r="ES92" s="49">
        <f t="shared" si="141"/>
        <v>0</v>
      </c>
      <c r="ET92" s="49">
        <f t="shared" si="141"/>
        <v>0</v>
      </c>
      <c r="EU92" s="49">
        <f t="shared" si="141"/>
        <v>0</v>
      </c>
      <c r="EV92" s="49">
        <f t="shared" si="141"/>
        <v>0</v>
      </c>
      <c r="EW92" s="49">
        <f t="shared" si="141"/>
        <v>0</v>
      </c>
      <c r="EX92" s="49">
        <f t="shared" si="141"/>
        <v>0</v>
      </c>
      <c r="EY92" s="49">
        <f t="shared" si="141"/>
        <v>0</v>
      </c>
      <c r="EZ92" s="49">
        <f t="shared" si="141"/>
        <v>0</v>
      </c>
      <c r="FA92" s="49">
        <f t="shared" si="141"/>
        <v>0</v>
      </c>
      <c r="FB92" s="49">
        <f t="shared" si="141"/>
        <v>0</v>
      </c>
      <c r="FC92" s="49">
        <f t="shared" si="141"/>
        <v>0</v>
      </c>
      <c r="FD92" s="49">
        <f t="shared" si="141"/>
        <v>0</v>
      </c>
      <c r="FE92" s="49">
        <f t="shared" si="141"/>
        <v>0</v>
      </c>
      <c r="FF92" s="49">
        <f t="shared" si="141"/>
        <v>0</v>
      </c>
      <c r="FG92" s="49">
        <f t="shared" si="141"/>
        <v>0</v>
      </c>
      <c r="FH92" s="49">
        <f t="shared" si="141"/>
        <v>0</v>
      </c>
      <c r="FI92" s="49">
        <f t="shared" si="141"/>
        <v>0</v>
      </c>
      <c r="FJ92" s="49">
        <f t="shared" si="141"/>
        <v>0</v>
      </c>
      <c r="FK92" s="49">
        <f t="shared" si="141"/>
        <v>0</v>
      </c>
      <c r="FL92" s="49">
        <f t="shared" si="141"/>
        <v>0</v>
      </c>
      <c r="FM92" s="49">
        <f t="shared" si="141"/>
        <v>0</v>
      </c>
      <c r="FN92" s="49">
        <f t="shared" si="141"/>
        <v>0</v>
      </c>
      <c r="FO92" s="49">
        <f t="shared" si="141"/>
        <v>0</v>
      </c>
      <c r="FP92" s="49">
        <f t="shared" si="141"/>
        <v>0</v>
      </c>
      <c r="FQ92" s="49">
        <f t="shared" si="141"/>
        <v>0</v>
      </c>
      <c r="FR92" s="49">
        <f t="shared" ref="FR92:GQ92" si="142">2*(FR85+FR82*FR86)/( (FR81-FR80)*100*FR82 )</f>
        <v>0</v>
      </c>
      <c r="FS92" s="49">
        <f t="shared" si="142"/>
        <v>0</v>
      </c>
      <c r="FT92" s="49">
        <f t="shared" si="142"/>
        <v>0</v>
      </c>
      <c r="FU92" s="49">
        <f t="shared" si="142"/>
        <v>0</v>
      </c>
      <c r="FV92" s="49">
        <f t="shared" si="142"/>
        <v>0</v>
      </c>
      <c r="FW92" s="49">
        <f t="shared" si="142"/>
        <v>0</v>
      </c>
      <c r="FX92" s="49">
        <f t="shared" si="142"/>
        <v>0</v>
      </c>
      <c r="FY92" s="49">
        <f t="shared" si="142"/>
        <v>0</v>
      </c>
      <c r="FZ92" s="49">
        <f t="shared" si="142"/>
        <v>0</v>
      </c>
      <c r="GA92" s="49">
        <f t="shared" si="142"/>
        <v>0</v>
      </c>
      <c r="GB92" s="49">
        <f t="shared" si="142"/>
        <v>0</v>
      </c>
      <c r="GC92" s="49">
        <f t="shared" si="142"/>
        <v>0</v>
      </c>
      <c r="GD92" s="49">
        <f t="shared" si="142"/>
        <v>0</v>
      </c>
      <c r="GE92" s="49">
        <f t="shared" si="142"/>
        <v>0</v>
      </c>
      <c r="GF92" s="49">
        <f t="shared" si="142"/>
        <v>0</v>
      </c>
      <c r="GG92" s="49">
        <f t="shared" si="142"/>
        <v>0</v>
      </c>
      <c r="GH92" s="49">
        <f t="shared" si="142"/>
        <v>0</v>
      </c>
      <c r="GI92" s="49">
        <f t="shared" si="142"/>
        <v>0</v>
      </c>
      <c r="GJ92" s="49">
        <f t="shared" si="142"/>
        <v>0</v>
      </c>
      <c r="GK92" s="49">
        <f t="shared" si="142"/>
        <v>0</v>
      </c>
      <c r="GL92" s="49">
        <f t="shared" si="142"/>
        <v>0</v>
      </c>
      <c r="GM92" s="49">
        <f t="shared" si="142"/>
        <v>0</v>
      </c>
      <c r="GN92" s="49">
        <f t="shared" si="142"/>
        <v>0</v>
      </c>
      <c r="GO92" s="49">
        <f t="shared" si="142"/>
        <v>0</v>
      </c>
      <c r="GP92" s="49">
        <f t="shared" si="142"/>
        <v>0</v>
      </c>
      <c r="GQ92" s="49">
        <f t="shared" si="142"/>
        <v>0</v>
      </c>
      <c r="GR92" s="49">
        <f t="shared" ref="GR92:HO92" si="143">2*(GR85+GR82*GR86)/( (GR81-GR80)*100*GR82 )</f>
        <v>0</v>
      </c>
      <c r="GS92" s="49">
        <f t="shared" si="143"/>
        <v>0</v>
      </c>
      <c r="GT92" s="49">
        <f t="shared" si="143"/>
        <v>0</v>
      </c>
      <c r="GU92" s="49">
        <f t="shared" si="143"/>
        <v>0</v>
      </c>
      <c r="GV92" s="49">
        <f t="shared" si="143"/>
        <v>0</v>
      </c>
      <c r="GW92" s="49">
        <f t="shared" si="143"/>
        <v>0</v>
      </c>
      <c r="GX92" s="49">
        <f t="shared" si="143"/>
        <v>0</v>
      </c>
      <c r="GY92" s="49">
        <f t="shared" si="143"/>
        <v>0</v>
      </c>
      <c r="GZ92" s="49">
        <f t="shared" si="143"/>
        <v>0</v>
      </c>
      <c r="HA92" s="49">
        <f t="shared" si="143"/>
        <v>0</v>
      </c>
      <c r="HB92" s="49">
        <f t="shared" si="143"/>
        <v>0</v>
      </c>
      <c r="HC92" s="49">
        <f t="shared" si="143"/>
        <v>0</v>
      </c>
      <c r="HD92" s="49">
        <f t="shared" si="143"/>
        <v>0</v>
      </c>
      <c r="HE92" s="49">
        <f t="shared" si="143"/>
        <v>1.4814814814814815E-2</v>
      </c>
      <c r="HF92" s="49">
        <f t="shared" si="143"/>
        <v>1.2345679012345678E-2</v>
      </c>
      <c r="HG92" s="49">
        <f t="shared" si="143"/>
        <v>2.403846153846154E-2</v>
      </c>
      <c r="HH92" s="49">
        <f t="shared" si="143"/>
        <v>0.15625000000000006</v>
      </c>
      <c r="HI92" s="49">
        <f t="shared" si="143"/>
        <v>0.16129032258064516</v>
      </c>
      <c r="HJ92" s="49">
        <f t="shared" si="143"/>
        <v>0.22727272727272724</v>
      </c>
      <c r="HK92" s="49">
        <f t="shared" si="143"/>
        <v>0.41666666666666669</v>
      </c>
      <c r="HL92" s="49">
        <f t="shared" si="143"/>
        <v>6.25E-2</v>
      </c>
      <c r="HM92" s="49">
        <f t="shared" si="143"/>
        <v>0.10000000000000035</v>
      </c>
      <c r="HN92" s="49">
        <f t="shared" si="143"/>
        <v>6.25E-2</v>
      </c>
      <c r="HO92" s="49">
        <f t="shared" si="143"/>
        <v>0.14285714285714282</v>
      </c>
      <c r="HP92" s="49">
        <f t="shared" ref="HP92:HV92" si="144">2*(HP85+HP82*HP86)/( (HP81-HP80)*100*HP82 )</f>
        <v>0.55555555555555713</v>
      </c>
      <c r="HQ92" s="49">
        <f t="shared" si="144"/>
        <v>0.55555555555555647</v>
      </c>
      <c r="HR92" s="49">
        <f t="shared" si="144"/>
        <v>0.49999999999999289</v>
      </c>
      <c r="HS92" s="49">
        <f t="shared" si="144"/>
        <v>0.23809523809523814</v>
      </c>
      <c r="HT92" s="49">
        <f t="shared" si="144"/>
        <v>0.10000000000000005</v>
      </c>
      <c r="HU92" s="49">
        <f t="shared" si="144"/>
        <v>0.14285714285714227</v>
      </c>
      <c r="HV92" s="49">
        <f t="shared" si="144"/>
        <v>5.6980056980056992E-3</v>
      </c>
      <c r="HW92" s="49">
        <f t="shared" ref="HW92:IC92" si="145">2*(HW85+HW82*HW86)/( (HW81-HW80)*100*HW82 )</f>
        <v>0.71428571428571486</v>
      </c>
      <c r="HX92" s="49">
        <f t="shared" si="145"/>
        <v>0.25000000000000033</v>
      </c>
      <c r="HY92" s="49">
        <f t="shared" si="145"/>
        <v>5.263157894736846E-2</v>
      </c>
      <c r="HZ92" s="49">
        <f t="shared" si="145"/>
        <v>0.16666666666666627</v>
      </c>
      <c r="IA92" s="49">
        <f t="shared" si="145"/>
        <v>0.29411764705882348</v>
      </c>
      <c r="IB92" s="49">
        <f t="shared" si="145"/>
        <v>0.20000000000000004</v>
      </c>
      <c r="IC92" s="49">
        <f t="shared" si="145"/>
        <v>0.21739130434782605</v>
      </c>
      <c r="ID92" s="49">
        <f t="shared" ref="ID92:II92" si="146">2*(ID85+ID82*ID86)/( (ID81-ID80)*100*ID82 )</f>
        <v>0.83333333333333259</v>
      </c>
      <c r="IE92" s="49">
        <f t="shared" si="146"/>
        <v>0.24999999999999992</v>
      </c>
      <c r="IF92" s="49">
        <f t="shared" si="146"/>
        <v>0.22222222222222204</v>
      </c>
      <c r="IG92" s="49">
        <f t="shared" si="146"/>
        <v>3.1250000000000014E-2</v>
      </c>
      <c r="IH92" s="49">
        <f t="shared" si="146"/>
        <v>7.6923076923076858E-2</v>
      </c>
      <c r="II92" s="49" t="e">
        <f t="shared" si="146"/>
        <v>#DIV/0!</v>
      </c>
      <c r="IJ92" s="49">
        <f t="shared" ref="IJ92:IO92" si="147">2*(IJ85+IJ82*IJ86)/( (IJ81-IJ80)*100*IJ82 )</f>
        <v>0.1</v>
      </c>
      <c r="IK92" s="49">
        <f t="shared" si="147"/>
        <v>4.4444444444444474E-2</v>
      </c>
      <c r="IL92" s="49">
        <f t="shared" si="147"/>
        <v>0.17857142857142855</v>
      </c>
      <c r="IM92" s="49">
        <f t="shared" si="147"/>
        <v>0.13333333333333333</v>
      </c>
      <c r="IN92" s="49">
        <f t="shared" si="147"/>
        <v>0.15151515151515155</v>
      </c>
      <c r="IO92" s="49">
        <f t="shared" si="147"/>
        <v>0.35714285714285682</v>
      </c>
      <c r="IP92" s="49">
        <f t="shared" ref="IP92:IV92" si="148">2*(IP85+IP82*IP86)/( (IP81-IP80)*100*IP82 )</f>
        <v>0.10752688172043014</v>
      </c>
      <c r="IQ92" s="49">
        <f t="shared" si="148"/>
        <v>0.04</v>
      </c>
      <c r="IR92" s="49">
        <f t="shared" si="148"/>
        <v>0.23809523809523803</v>
      </c>
      <c r="IS92" s="49">
        <f t="shared" si="148"/>
        <v>0.39999999999999786</v>
      </c>
      <c r="IT92" s="49">
        <f t="shared" si="148"/>
        <v>3.1746031746031772E-2</v>
      </c>
      <c r="IU92" s="49">
        <f t="shared" si="148"/>
        <v>-1.1111111111111106E-2</v>
      </c>
      <c r="IV92" s="49">
        <f t="shared" si="148"/>
        <v>1.6806722689075643E-2</v>
      </c>
      <c r="IW92" s="49">
        <f t="shared" ref="IW92:JL92" si="149">2*(IW85+IW82*IW86)/( (IW81-IW80)*100*IW82 )</f>
        <v>3.1746031746031751E-2</v>
      </c>
      <c r="IX92" s="49">
        <f t="shared" si="149"/>
        <v>0.04</v>
      </c>
      <c r="IY92" s="49">
        <f t="shared" si="149"/>
        <v>0.24999999999999992</v>
      </c>
      <c r="IZ92" s="49">
        <f t="shared" si="149"/>
        <v>1.4880952380952378E-2</v>
      </c>
      <c r="JA92" s="49">
        <f t="shared" si="149"/>
        <v>0.26315789473684209</v>
      </c>
      <c r="JB92" s="49">
        <f t="shared" si="149"/>
        <v>6.9444444444444392E-2</v>
      </c>
      <c r="JC92" s="49">
        <f t="shared" si="149"/>
        <v>0.62499999999999944</v>
      </c>
      <c r="JD92" s="49">
        <f t="shared" si="149"/>
        <v>0.62499999999999944</v>
      </c>
      <c r="JE92" s="49">
        <f t="shared" si="149"/>
        <v>0.23809523809523814</v>
      </c>
      <c r="JF92" s="49">
        <f t="shared" si="149"/>
        <v>9.6153846153846159E-2</v>
      </c>
      <c r="JG92" s="49">
        <f t="shared" si="149"/>
        <v>0.11111111111111116</v>
      </c>
      <c r="JH92" s="49">
        <f t="shared" si="149"/>
        <v>0.22222222222222202</v>
      </c>
      <c r="JI92" s="49">
        <f t="shared" si="149"/>
        <v>0</v>
      </c>
      <c r="JJ92" s="49">
        <f t="shared" si="149"/>
        <v>0</v>
      </c>
      <c r="JK92" s="49">
        <f t="shared" si="149"/>
        <v>0</v>
      </c>
      <c r="JL92" s="49">
        <f t="shared" si="149"/>
        <v>0.22222222222222218</v>
      </c>
      <c r="JM92" s="49">
        <f t="shared" ref="JM92:JW92" si="150">2*(JM85+JM82*JM86)/( (JM81-JM80)*100*JM82 )</f>
        <v>0.58823529411764586</v>
      </c>
      <c r="JN92" s="49">
        <f t="shared" si="150"/>
        <v>2.7397260273972601E-2</v>
      </c>
      <c r="JO92" s="49">
        <f t="shared" si="150"/>
        <v>7.1428571428571397E-2</v>
      </c>
      <c r="JP92" s="49">
        <f t="shared" si="150"/>
        <v>0.25000000000000006</v>
      </c>
      <c r="JQ92" s="49">
        <f t="shared" si="150"/>
        <v>0.37037037037037035</v>
      </c>
      <c r="JR92" s="49">
        <f t="shared" si="150"/>
        <v>0.2857142857142857</v>
      </c>
      <c r="JS92" s="49">
        <f t="shared" si="150"/>
        <v>0.08</v>
      </c>
      <c r="JT92" s="49">
        <f t="shared" si="150"/>
        <v>0</v>
      </c>
      <c r="JU92" s="49">
        <f t="shared" si="150"/>
        <v>0</v>
      </c>
      <c r="JV92" s="49">
        <f t="shared" si="150"/>
        <v>0</v>
      </c>
      <c r="JW92" s="49">
        <f t="shared" si="150"/>
        <v>0</v>
      </c>
      <c r="JX92" s="49">
        <f t="shared" ref="JX92:KE92" si="151">2*(JX85+JX82*JX86)/( (JX81-JX80)*100*JX82 )</f>
        <v>0</v>
      </c>
      <c r="JY92" s="49">
        <f t="shared" si="151"/>
        <v>0</v>
      </c>
      <c r="JZ92" s="49">
        <f t="shared" si="151"/>
        <v>0</v>
      </c>
      <c r="KA92" s="49">
        <f t="shared" si="151"/>
        <v>0</v>
      </c>
      <c r="KB92" s="49">
        <f t="shared" si="151"/>
        <v>0</v>
      </c>
      <c r="KC92" s="49">
        <f t="shared" si="151"/>
        <v>0</v>
      </c>
      <c r="KD92" s="49">
        <f t="shared" si="151"/>
        <v>0</v>
      </c>
      <c r="KE92" s="49">
        <f t="shared" si="151"/>
        <v>0</v>
      </c>
      <c r="KF92" s="49">
        <f t="shared" ref="KF92:KL92" si="152">2*(KF85+KF82*KF86)/( (KF81-KF80)*100*KF82 )</f>
        <v>0</v>
      </c>
      <c r="KG92" s="49">
        <f t="shared" si="152"/>
        <v>0</v>
      </c>
      <c r="KH92" s="49">
        <f t="shared" si="152"/>
        <v>0</v>
      </c>
      <c r="KI92" s="49">
        <f t="shared" si="152"/>
        <v>0</v>
      </c>
      <c r="KJ92" s="49">
        <f t="shared" si="152"/>
        <v>0</v>
      </c>
      <c r="KK92" s="49">
        <f t="shared" si="152"/>
        <v>0</v>
      </c>
      <c r="KL92" s="49">
        <f t="shared" si="152"/>
        <v>0</v>
      </c>
      <c r="KM92" s="49">
        <f t="shared" ref="KM92:KR92" si="153">2*(KM85+KM82*KM86)/( (KM81-KM80)*100*KM82 )</f>
        <v>0</v>
      </c>
      <c r="KN92" s="49">
        <f t="shared" si="153"/>
        <v>0</v>
      </c>
      <c r="KO92" s="49">
        <f t="shared" si="153"/>
        <v>0</v>
      </c>
      <c r="KP92" s="49">
        <f t="shared" si="153"/>
        <v>0</v>
      </c>
      <c r="KQ92" s="49">
        <f t="shared" si="153"/>
        <v>0</v>
      </c>
      <c r="KR92" s="49">
        <f t="shared" si="153"/>
        <v>0</v>
      </c>
      <c r="KS92" s="49">
        <f t="shared" ref="KS92:MS92" si="154">2*(KS85+KS82*KS86)/( (KS81-KS80)*100*KS82 )</f>
        <v>0</v>
      </c>
      <c r="KT92" s="49">
        <f t="shared" si="154"/>
        <v>0</v>
      </c>
      <c r="KU92" s="49">
        <f t="shared" si="154"/>
        <v>0</v>
      </c>
      <c r="KV92" s="49">
        <f t="shared" si="154"/>
        <v>0</v>
      </c>
      <c r="KW92" s="49">
        <f t="shared" si="154"/>
        <v>0</v>
      </c>
      <c r="KX92" s="49">
        <f t="shared" si="154"/>
        <v>0</v>
      </c>
      <c r="KY92" s="49">
        <f t="shared" si="154"/>
        <v>0</v>
      </c>
      <c r="KZ92" s="49">
        <f t="shared" si="154"/>
        <v>0</v>
      </c>
      <c r="LA92" s="49">
        <f t="shared" si="154"/>
        <v>0</v>
      </c>
      <c r="LB92" s="49">
        <f t="shared" si="154"/>
        <v>0</v>
      </c>
      <c r="LC92" s="49">
        <f t="shared" si="154"/>
        <v>0</v>
      </c>
      <c r="LD92" s="49">
        <f t="shared" si="154"/>
        <v>0</v>
      </c>
      <c r="LE92" s="49">
        <f t="shared" si="154"/>
        <v>0</v>
      </c>
      <c r="LF92" s="49">
        <f t="shared" si="154"/>
        <v>0</v>
      </c>
      <c r="LG92" s="49">
        <f t="shared" si="154"/>
        <v>0</v>
      </c>
      <c r="LH92" s="49">
        <f t="shared" si="154"/>
        <v>0</v>
      </c>
      <c r="LI92" s="49">
        <f t="shared" si="154"/>
        <v>0</v>
      </c>
      <c r="LJ92" s="49">
        <f t="shared" si="154"/>
        <v>0</v>
      </c>
      <c r="LK92" s="49">
        <f t="shared" si="154"/>
        <v>0</v>
      </c>
      <c r="LL92" s="49">
        <f t="shared" si="154"/>
        <v>0</v>
      </c>
      <c r="LM92" s="49">
        <f t="shared" si="154"/>
        <v>0</v>
      </c>
      <c r="LN92" s="49">
        <f t="shared" si="154"/>
        <v>0</v>
      </c>
      <c r="LO92" s="49">
        <f t="shared" si="154"/>
        <v>0</v>
      </c>
      <c r="LP92" s="49">
        <f t="shared" si="154"/>
        <v>0</v>
      </c>
      <c r="LQ92" s="49">
        <f t="shared" si="154"/>
        <v>0</v>
      </c>
      <c r="LR92" s="49">
        <f t="shared" si="154"/>
        <v>0</v>
      </c>
      <c r="LS92" s="49">
        <f t="shared" si="154"/>
        <v>0</v>
      </c>
      <c r="LT92" s="49">
        <f t="shared" si="154"/>
        <v>0</v>
      </c>
      <c r="LU92" s="49">
        <f t="shared" si="154"/>
        <v>0</v>
      </c>
      <c r="LV92" s="49">
        <f t="shared" si="154"/>
        <v>0</v>
      </c>
      <c r="LW92" s="49">
        <f t="shared" si="154"/>
        <v>0</v>
      </c>
      <c r="LX92" s="49">
        <f t="shared" si="154"/>
        <v>0.20384615384615384</v>
      </c>
      <c r="LY92" s="49">
        <f t="shared" si="154"/>
        <v>0.14444444444444443</v>
      </c>
      <c r="LZ92" s="49">
        <f t="shared" si="154"/>
        <v>2.1710526315789472E-2</v>
      </c>
      <c r="MA92" s="49">
        <f t="shared" si="154"/>
        <v>0.44166666666666626</v>
      </c>
      <c r="MB92" s="49">
        <f t="shared" si="154"/>
        <v>9.4017094017093988E-2</v>
      </c>
      <c r="MC92" s="49">
        <f t="shared" si="154"/>
        <v>0.16562500000000002</v>
      </c>
      <c r="MD92" s="49">
        <f t="shared" si="154"/>
        <v>0.55600000000000194</v>
      </c>
      <c r="ME92" s="49">
        <f t="shared" si="154"/>
        <v>6.2264150943396095E-2</v>
      </c>
      <c r="MF92" s="49">
        <f t="shared" si="154"/>
        <v>2.0625000000000001E-2</v>
      </c>
      <c r="MG92" s="49">
        <f t="shared" si="154"/>
        <v>0.59374999999999989</v>
      </c>
      <c r="MH92" s="49">
        <f t="shared" si="154"/>
        <v>0.80000000000000027</v>
      </c>
      <c r="MI92" s="49">
        <f t="shared" si="154"/>
        <v>0.94999999999999496</v>
      </c>
      <c r="MJ92" s="49">
        <f t="shared" si="154"/>
        <v>0.16481481481481489</v>
      </c>
      <c r="MK92" s="49">
        <f t="shared" si="154"/>
        <v>0.98888888888888793</v>
      </c>
      <c r="ML92" s="49">
        <f t="shared" si="154"/>
        <v>0.17460317460317473</v>
      </c>
      <c r="MM92" s="49">
        <f t="shared" si="154"/>
        <v>-0.21199999999999999</v>
      </c>
      <c r="MN92" s="49">
        <f t="shared" si="154"/>
        <v>0.10476190476190474</v>
      </c>
      <c r="MO92" s="49">
        <f t="shared" si="154"/>
        <v>8.7878787878787903E-2</v>
      </c>
      <c r="MP92" s="49">
        <f t="shared" si="154"/>
        <v>0.1102564102564105</v>
      </c>
      <c r="MQ92" s="49">
        <f t="shared" si="154"/>
        <v>0.55000000000000038</v>
      </c>
      <c r="MR92" s="49">
        <f t="shared" si="154"/>
        <v>9.4117647058823528E-2</v>
      </c>
      <c r="MS92" s="49">
        <f t="shared" si="154"/>
        <v>7.6388888888888826E-2</v>
      </c>
    </row>
    <row r="93" spans="1:357" x14ac:dyDescent="0.35">
      <c r="C93" t="s">
        <v>248</v>
      </c>
      <c r="E93" s="3">
        <f t="shared" ref="E93:F93" si="155">(E81-E80)*100*E82-2*(E85+E82*E86)</f>
        <v>31</v>
      </c>
      <c r="F93" s="3">
        <f t="shared" si="155"/>
        <v>7.0000000000000142</v>
      </c>
      <c r="G93" s="3">
        <f t="shared" ref="G93:I93" si="156">(G81-G80)*100*G82-2*(G85+G82*G86)</f>
        <v>31</v>
      </c>
      <c r="H93" s="3">
        <f t="shared" ref="H93" si="157">(H81-H80)*100*H82-2*(H85+H82*H86)</f>
        <v>57</v>
      </c>
      <c r="I93" s="3">
        <f t="shared" si="156"/>
        <v>36</v>
      </c>
      <c r="J93" s="3">
        <f t="shared" ref="J93:AZ93" si="158">(J81-J80)*100*J82-2*(J85+J82*J86)</f>
        <v>12.999999999999996</v>
      </c>
      <c r="K93" s="3">
        <f t="shared" si="158"/>
        <v>11.999999999999996</v>
      </c>
      <c r="L93" s="3">
        <f t="shared" si="158"/>
        <v>236.99999999999974</v>
      </c>
      <c r="M93" s="3">
        <f t="shared" si="158"/>
        <v>37</v>
      </c>
      <c r="N93" s="3">
        <f t="shared" si="158"/>
        <v>172.00000000000014</v>
      </c>
      <c r="O93" s="3">
        <f t="shared" si="158"/>
        <v>24.000000000000007</v>
      </c>
      <c r="P93" s="3">
        <f t="shared" si="158"/>
        <v>34.000000000000007</v>
      </c>
      <c r="Q93" s="3">
        <f t="shared" si="158"/>
        <v>26.999999999999964</v>
      </c>
      <c r="R93" s="3">
        <f t="shared" si="158"/>
        <v>31.999999999999993</v>
      </c>
      <c r="S93" s="3">
        <f t="shared" si="158"/>
        <v>77.999999999999943</v>
      </c>
      <c r="T93" s="3">
        <f t="shared" si="158"/>
        <v>27.999999999999943</v>
      </c>
      <c r="U93" s="3">
        <f t="shared" si="158"/>
        <v>42.999999999999979</v>
      </c>
      <c r="V93" s="3">
        <f t="shared" si="158"/>
        <v>77.999999999999943</v>
      </c>
      <c r="W93" s="3">
        <f t="shared" si="158"/>
        <v>4</v>
      </c>
      <c r="X93" s="3">
        <f t="shared" si="158"/>
        <v>29.999999999999986</v>
      </c>
      <c r="Y93" s="3">
        <f t="shared" si="158"/>
        <v>94</v>
      </c>
      <c r="Z93" s="3">
        <f t="shared" si="158"/>
        <v>127</v>
      </c>
      <c r="AA93" s="3">
        <f t="shared" si="158"/>
        <v>19.000000000000021</v>
      </c>
      <c r="AB93" s="3">
        <f t="shared" si="158"/>
        <v>64.999999999999957</v>
      </c>
      <c r="AC93" s="3">
        <f t="shared" si="158"/>
        <v>292.00000000000006</v>
      </c>
      <c r="AD93" s="3">
        <f t="shared" si="158"/>
        <v>36.000000000000043</v>
      </c>
      <c r="AE93" s="3">
        <f t="shared" si="158"/>
        <v>37.000000000000007</v>
      </c>
      <c r="AF93" s="3">
        <f t="shared" si="158"/>
        <v>32.000000000000007</v>
      </c>
      <c r="AG93" s="3">
        <f t="shared" si="158"/>
        <v>32.000000000000036</v>
      </c>
      <c r="AH93" s="3">
        <f t="shared" si="158"/>
        <v>125</v>
      </c>
      <c r="AI93" s="3">
        <f t="shared" si="158"/>
        <v>2.9999999999999876</v>
      </c>
      <c r="AJ93" s="3">
        <f t="shared" si="158"/>
        <v>17.000000000000021</v>
      </c>
      <c r="AK93" s="3">
        <f t="shared" si="158"/>
        <v>12.000000000000018</v>
      </c>
      <c r="AL93" s="3">
        <f t="shared" si="158"/>
        <v>31.999999999999993</v>
      </c>
      <c r="AM93" s="3">
        <f t="shared" si="158"/>
        <v>263.99999999999989</v>
      </c>
      <c r="AN93" s="3">
        <f t="shared" si="158"/>
        <v>219.99999999999994</v>
      </c>
      <c r="AO93" s="3">
        <f t="shared" si="158"/>
        <v>39.999999999999957</v>
      </c>
      <c r="AP93" s="3">
        <f t="shared" si="158"/>
        <v>94</v>
      </c>
      <c r="AQ93" s="3">
        <f t="shared" si="158"/>
        <v>22.000000000000028</v>
      </c>
      <c r="AR93" s="3">
        <f t="shared" si="158"/>
        <v>35.000000000000007</v>
      </c>
      <c r="AS93" s="3">
        <f t="shared" si="158"/>
        <v>19.999999999999993</v>
      </c>
      <c r="AT93" s="3">
        <f t="shared" si="158"/>
        <v>142</v>
      </c>
      <c r="AU93" s="3">
        <f t="shared" si="158"/>
        <v>55.999999999999972</v>
      </c>
      <c r="AV93" s="3">
        <f t="shared" si="158"/>
        <v>112.00000000000001</v>
      </c>
      <c r="AW93" s="3">
        <f t="shared" si="158"/>
        <v>99.999999999999986</v>
      </c>
      <c r="AX93" s="3">
        <f t="shared" si="158"/>
        <v>62.000000000000014</v>
      </c>
      <c r="AY93" s="3">
        <f t="shared" si="158"/>
        <v>46</v>
      </c>
      <c r="AZ93" s="3">
        <f t="shared" si="158"/>
        <v>231.99999999999994</v>
      </c>
      <c r="BA93" s="3">
        <f t="shared" ref="BA93:BS93" si="159">(BA81-BA80)*100*BA82-2*(BA85+BA82*BA86)</f>
        <v>68.000000000000028</v>
      </c>
      <c r="BB93" s="3">
        <f t="shared" si="159"/>
        <v>127</v>
      </c>
      <c r="BC93" s="3">
        <f t="shared" si="159"/>
        <v>132.00000000000011</v>
      </c>
      <c r="BD93" s="3">
        <f t="shared" si="159"/>
        <v>42.00000000000027</v>
      </c>
      <c r="BE93" s="3">
        <f t="shared" si="159"/>
        <v>32.000000000000007</v>
      </c>
      <c r="BF93" s="3">
        <f t="shared" si="159"/>
        <v>186.99999999999997</v>
      </c>
      <c r="BG93" s="3">
        <f t="shared" si="159"/>
        <v>117.99999999999997</v>
      </c>
      <c r="BH93" s="3">
        <f t="shared" si="159"/>
        <v>92.000000000000028</v>
      </c>
      <c r="BI93" s="3">
        <f t="shared" si="159"/>
        <v>66.999999999999972</v>
      </c>
      <c r="BJ93" s="3">
        <f t="shared" si="159"/>
        <v>48.000000000000028</v>
      </c>
      <c r="BK93" s="3">
        <f t="shared" si="159"/>
        <v>218.00000000000003</v>
      </c>
      <c r="BL93" s="3">
        <f t="shared" si="159"/>
        <v>92.000000000000043</v>
      </c>
      <c r="BM93" s="3">
        <f t="shared" si="159"/>
        <v>-98.000000000000014</v>
      </c>
      <c r="BN93" s="3">
        <f t="shared" si="159"/>
        <v>27.000000000000028</v>
      </c>
      <c r="BO93" s="3">
        <f t="shared" si="159"/>
        <v>34.999999999999972</v>
      </c>
      <c r="BP93" s="3">
        <f t="shared" si="159"/>
        <v>21.999999999999982</v>
      </c>
      <c r="BQ93" s="3">
        <f t="shared" si="159"/>
        <v>11.999999999999972</v>
      </c>
      <c r="BR93" s="3">
        <f t="shared" si="159"/>
        <v>36.999999999999929</v>
      </c>
      <c r="BS93" s="3">
        <f t="shared" si="159"/>
        <v>25.000000000000355</v>
      </c>
      <c r="BT93" s="3">
        <f t="shared" ref="BT93:CI93" si="160">(BT81-BT80)*100*BT82-2*(BT85+BT82*BT86)</f>
        <v>2.0000000000000018</v>
      </c>
      <c r="BU93" s="3">
        <f t="shared" si="160"/>
        <v>149.99999999999991</v>
      </c>
      <c r="BV93" s="3">
        <f t="shared" si="160"/>
        <v>12.000000000000011</v>
      </c>
      <c r="BW93" s="3">
        <f t="shared" si="160"/>
        <v>20.000000000000018</v>
      </c>
      <c r="BX93" s="3">
        <f t="shared" si="160"/>
        <v>30.000000000000004</v>
      </c>
      <c r="BY93" s="3">
        <f t="shared" si="160"/>
        <v>8.0000000000000071</v>
      </c>
      <c r="BZ93" s="3">
        <f t="shared" si="160"/>
        <v>159.99999999999994</v>
      </c>
      <c r="CA93" s="3">
        <f t="shared" si="160"/>
        <v>30.000000000000004</v>
      </c>
      <c r="CB93" s="3">
        <f t="shared" si="160"/>
        <v>40</v>
      </c>
      <c r="CC93" s="3">
        <f t="shared" si="160"/>
        <v>47.999999999999993</v>
      </c>
      <c r="CD93" s="3">
        <f t="shared" si="160"/>
        <v>449.99999999999972</v>
      </c>
      <c r="CE93" s="3">
        <f t="shared" si="160"/>
        <v>40.000000000000007</v>
      </c>
      <c r="CF93" s="3">
        <f t="shared" si="160"/>
        <v>67</v>
      </c>
      <c r="CG93" s="3">
        <f t="shared" si="160"/>
        <v>160.00000000000014</v>
      </c>
      <c r="CH93" s="3">
        <f t="shared" si="160"/>
        <v>149.99999999999991</v>
      </c>
      <c r="CI93" s="3">
        <f t="shared" si="160"/>
        <v>71.999999999999986</v>
      </c>
      <c r="CJ93" s="3">
        <f t="shared" ref="CJ93:CY93" si="161">(CJ81-CJ80)*100*CJ82-2*(CJ85+CJ82*CJ86)</f>
        <v>48.00000000000005</v>
      </c>
      <c r="CK93" s="3">
        <f t="shared" si="161"/>
        <v>13.999999999999886</v>
      </c>
      <c r="CL93" s="3">
        <f t="shared" si="161"/>
        <v>62.000000000000014</v>
      </c>
      <c r="CM93" s="3">
        <f t="shared" si="161"/>
        <v>28</v>
      </c>
      <c r="CN93" s="3">
        <f t="shared" si="161"/>
        <v>20.000000000000004</v>
      </c>
      <c r="CO93" s="3">
        <f t="shared" si="161"/>
        <v>25.000000000000099</v>
      </c>
      <c r="CP93" s="3">
        <f t="shared" si="161"/>
        <v>22.000000000000071</v>
      </c>
      <c r="CQ93" s="3">
        <f t="shared" si="161"/>
        <v>68.000000000000028</v>
      </c>
      <c r="CR93" s="3">
        <f t="shared" si="161"/>
        <v>62.000000000000014</v>
      </c>
      <c r="CS93" s="3">
        <f t="shared" si="161"/>
        <v>47.000000000000028</v>
      </c>
      <c r="CT93" s="3">
        <f t="shared" si="161"/>
        <v>21.999999999999982</v>
      </c>
      <c r="CU93" s="3">
        <f t="shared" si="161"/>
        <v>108.00000000000001</v>
      </c>
      <c r="CV93" s="3">
        <f t="shared" si="161"/>
        <v>104.00000000000001</v>
      </c>
      <c r="CW93" s="3">
        <f t="shared" si="161"/>
        <v>2.0000000000000089</v>
      </c>
      <c r="CX93" s="3">
        <f t="shared" si="161"/>
        <v>290.00000000000006</v>
      </c>
      <c r="CY93" s="3">
        <f t="shared" si="161"/>
        <v>264.99999999999994</v>
      </c>
      <c r="CZ93" s="3">
        <f t="shared" ref="CZ93:DE93" si="162">(CZ81-CZ80)*100*CZ82-2*(CZ85+CZ82*CZ86)</f>
        <v>510</v>
      </c>
      <c r="DA93" s="3">
        <f t="shared" si="162"/>
        <v>41</v>
      </c>
      <c r="DB93" s="3">
        <f t="shared" si="162"/>
        <v>320.00000000000028</v>
      </c>
      <c r="DC93" s="3">
        <f t="shared" si="162"/>
        <v>240</v>
      </c>
      <c r="DD93" s="3">
        <f t="shared" si="162"/>
        <v>20.000000000000018</v>
      </c>
      <c r="DE93" s="3">
        <f t="shared" si="162"/>
        <v>179.99999999999994</v>
      </c>
      <c r="DF93" s="3">
        <f t="shared" ref="DF93:EM93" si="163">(DF81-DF80)*100*DF82-2*(DF85+DF82*DF86)</f>
        <v>62.000000000000014</v>
      </c>
      <c r="DG93" s="3">
        <f t="shared" si="163"/>
        <v>40</v>
      </c>
      <c r="DH93" s="3">
        <f t="shared" si="163"/>
        <v>590</v>
      </c>
      <c r="DI93" s="3">
        <f t="shared" si="163"/>
        <v>600</v>
      </c>
      <c r="DJ93" s="3">
        <f t="shared" si="163"/>
        <v>60.000000000000057</v>
      </c>
      <c r="DK93" s="3">
        <f t="shared" si="163"/>
        <v>54.999999999999993</v>
      </c>
      <c r="DL93" s="3">
        <f t="shared" si="163"/>
        <v>88.999999999999986</v>
      </c>
      <c r="DM93" s="3">
        <f t="shared" si="163"/>
        <v>49.999999999999986</v>
      </c>
      <c r="DN93" s="3">
        <f t="shared" si="163"/>
        <v>52</v>
      </c>
      <c r="DO93" s="3">
        <f t="shared" si="163"/>
        <v>639.99999999999909</v>
      </c>
      <c r="DP93" s="3">
        <f t="shared" si="163"/>
        <v>320.00000000000028</v>
      </c>
      <c r="DQ93" s="3">
        <f t="shared" si="163"/>
        <v>20.000000000000018</v>
      </c>
      <c r="DR93" s="3">
        <f t="shared" si="163"/>
        <v>20.000000000000018</v>
      </c>
      <c r="DS93" s="3">
        <f t="shared" si="163"/>
        <v>34.000000000000028</v>
      </c>
      <c r="DT93" s="3">
        <f t="shared" si="163"/>
        <v>24.000000000000021</v>
      </c>
      <c r="DU93" s="3">
        <f t="shared" si="163"/>
        <v>73.999999999999986</v>
      </c>
      <c r="DV93" s="3">
        <f t="shared" si="163"/>
        <v>30.000000000000071</v>
      </c>
      <c r="DW93" s="3">
        <f t="shared" si="163"/>
        <v>77.999999999999986</v>
      </c>
      <c r="DX93" s="3">
        <f t="shared" si="163"/>
        <v>49.999999999999993</v>
      </c>
      <c r="DY93" s="3">
        <f t="shared" si="163"/>
        <v>49.999999999999993</v>
      </c>
      <c r="DZ93" s="3">
        <f t="shared" si="163"/>
        <v>95.999999999999957</v>
      </c>
      <c r="EA93" s="3">
        <f t="shared" si="163"/>
        <v>20.000000000000018</v>
      </c>
      <c r="EB93" s="3">
        <f t="shared" si="163"/>
        <v>39.999999999999993</v>
      </c>
      <c r="EC93" s="3">
        <f t="shared" si="163"/>
        <v>110.00000000000006</v>
      </c>
      <c r="ED93" s="3">
        <f t="shared" si="163"/>
        <v>200</v>
      </c>
      <c r="EE93" s="3">
        <f t="shared" si="163"/>
        <v>210</v>
      </c>
      <c r="EF93" s="3">
        <f t="shared" si="163"/>
        <v>26.000000000000021</v>
      </c>
      <c r="EG93" s="3">
        <f t="shared" si="163"/>
        <v>149.99999999999997</v>
      </c>
      <c r="EH93" s="3">
        <f t="shared" si="163"/>
        <v>26.000000000000021</v>
      </c>
      <c r="EI93" s="3">
        <f t="shared" si="163"/>
        <v>1.9999999999999574</v>
      </c>
      <c r="EJ93" s="3">
        <f t="shared" si="163"/>
        <v>24.999999999999911</v>
      </c>
      <c r="EK93" s="3">
        <f t="shared" si="163"/>
        <v>20.000000000000018</v>
      </c>
      <c r="EL93" s="3">
        <f t="shared" si="163"/>
        <v>0</v>
      </c>
      <c r="EM93" s="3">
        <f t="shared" si="163"/>
        <v>17.999999999999993</v>
      </c>
      <c r="EN93" s="3">
        <f t="shared" ref="EN93:FQ93" si="164">(EN81-EN80)*100*EN82-2*(EN85+EN82*EN86)</f>
        <v>1440</v>
      </c>
      <c r="EO93" s="3">
        <f t="shared" si="164"/>
        <v>27</v>
      </c>
      <c r="EP93" s="3">
        <f t="shared" si="164"/>
        <v>30.000000000000004</v>
      </c>
      <c r="EQ93" s="3">
        <f t="shared" si="164"/>
        <v>62.000000000000014</v>
      </c>
      <c r="ER93" s="3">
        <f t="shared" si="164"/>
        <v>45.000000000000014</v>
      </c>
      <c r="ES93" s="3">
        <f t="shared" si="164"/>
        <v>39.999999999999943</v>
      </c>
      <c r="ET93" s="3">
        <f t="shared" si="164"/>
        <v>90.000000000000014</v>
      </c>
      <c r="EU93" s="3">
        <f t="shared" si="164"/>
        <v>50</v>
      </c>
      <c r="EV93" s="3">
        <f t="shared" si="164"/>
        <v>180.00000000000003</v>
      </c>
      <c r="EW93" s="3">
        <f t="shared" si="164"/>
        <v>39.999999999999993</v>
      </c>
      <c r="EX93" s="3">
        <f t="shared" si="164"/>
        <v>75.999999999999972</v>
      </c>
      <c r="EY93" s="3">
        <f t="shared" si="164"/>
        <v>80.000000000000071</v>
      </c>
      <c r="EZ93" s="3">
        <f t="shared" si="164"/>
        <v>102</v>
      </c>
      <c r="FA93" s="3">
        <f t="shared" si="164"/>
        <v>109.99999999999999</v>
      </c>
      <c r="FB93" s="3">
        <f t="shared" si="164"/>
        <v>224.99999999999986</v>
      </c>
      <c r="FC93" s="3">
        <f t="shared" si="164"/>
        <v>35.999999999999943</v>
      </c>
      <c r="FD93" s="3">
        <f t="shared" si="164"/>
        <v>148</v>
      </c>
      <c r="FE93" s="3">
        <f t="shared" si="164"/>
        <v>190</v>
      </c>
      <c r="FF93" s="3">
        <f t="shared" si="164"/>
        <v>84.000000000000071</v>
      </c>
      <c r="FG93" s="3">
        <f t="shared" si="164"/>
        <v>214.99999999999997</v>
      </c>
      <c r="FH93" s="3">
        <f t="shared" si="164"/>
        <v>12.000000000000011</v>
      </c>
      <c r="FI93" s="3">
        <f t="shared" si="164"/>
        <v>532</v>
      </c>
      <c r="FJ93" s="3">
        <f t="shared" si="164"/>
        <v>353.99999999999989</v>
      </c>
      <c r="FK93" s="3">
        <f t="shared" si="164"/>
        <v>169.99999999999994</v>
      </c>
      <c r="FL93" s="3">
        <f t="shared" si="164"/>
        <v>355.99999999999955</v>
      </c>
      <c r="FM93" s="3">
        <f t="shared" si="164"/>
        <v>102</v>
      </c>
      <c r="FN93" s="3">
        <f t="shared" si="164"/>
        <v>274.99999999999994</v>
      </c>
      <c r="FO93" s="3">
        <f t="shared" si="164"/>
        <v>193.99999999999994</v>
      </c>
      <c r="FP93" s="3">
        <f t="shared" si="164"/>
        <v>73.999999999999972</v>
      </c>
      <c r="FQ93" s="3">
        <f t="shared" si="164"/>
        <v>99.999999999999986</v>
      </c>
      <c r="FR93" s="3">
        <f t="shared" ref="FR93:GQ93" si="165">(FR81-FR80)*100*FR82-2*(FR85+FR82*FR86)</f>
        <v>54.999999999999993</v>
      </c>
      <c r="FS93" s="3">
        <f t="shared" si="165"/>
        <v>84.000000000000014</v>
      </c>
      <c r="FT93" s="3">
        <f t="shared" si="165"/>
        <v>5.9999999999999973</v>
      </c>
      <c r="FU93" s="3">
        <f t="shared" si="165"/>
        <v>50</v>
      </c>
      <c r="FV93" s="3">
        <f t="shared" si="165"/>
        <v>-9.9999999999999645</v>
      </c>
      <c r="FW93" s="3">
        <f t="shared" si="165"/>
        <v>66.000000000000014</v>
      </c>
      <c r="FX93" s="3">
        <f t="shared" si="165"/>
        <v>32.000000000000028</v>
      </c>
      <c r="FY93" s="3">
        <f t="shared" si="165"/>
        <v>119.99999999999993</v>
      </c>
      <c r="FZ93" s="3">
        <f t="shared" si="165"/>
        <v>80</v>
      </c>
      <c r="GA93" s="3">
        <f t="shared" si="165"/>
        <v>470</v>
      </c>
      <c r="GB93" s="3">
        <f t="shared" si="165"/>
        <v>315.00000000000006</v>
      </c>
      <c r="GC93" s="3">
        <f t="shared" si="165"/>
        <v>10.000000000000009</v>
      </c>
      <c r="GD93" s="3">
        <f t="shared" si="165"/>
        <v>36.000000000000007</v>
      </c>
      <c r="GE93" s="3">
        <f t="shared" si="165"/>
        <v>50.000000000000014</v>
      </c>
      <c r="GF93" s="3">
        <f t="shared" si="165"/>
        <v>60.000000000000028</v>
      </c>
      <c r="GG93" s="3">
        <f t="shared" si="165"/>
        <v>13.999999999999989</v>
      </c>
      <c r="GH93" s="3">
        <f t="shared" si="165"/>
        <v>25.000000000000135</v>
      </c>
      <c r="GI93" s="3">
        <f t="shared" si="165"/>
        <v>375</v>
      </c>
      <c r="GJ93" s="3">
        <f t="shared" si="165"/>
        <v>375</v>
      </c>
      <c r="GK93" s="3">
        <f t="shared" si="165"/>
        <v>449.99999999999932</v>
      </c>
      <c r="GL93" s="3">
        <f t="shared" si="165"/>
        <v>584.99999999999977</v>
      </c>
      <c r="GM93" s="3">
        <f t="shared" si="165"/>
        <v>125.00000000000006</v>
      </c>
      <c r="GN93" s="3">
        <f t="shared" si="165"/>
        <v>175</v>
      </c>
      <c r="GO93" s="3">
        <f t="shared" si="165"/>
        <v>105.00000000000003</v>
      </c>
      <c r="GP93" s="3">
        <f t="shared" si="165"/>
        <v>49.999999999999929</v>
      </c>
      <c r="GQ93" s="3">
        <f t="shared" si="165"/>
        <v>11.999999999999966</v>
      </c>
      <c r="GR93" s="3">
        <f t="shared" ref="GR93:HO93" si="166">(GR81-GR80)*100*GR82-2*(GR85+GR82*GR86)</f>
        <v>74.999999999999986</v>
      </c>
      <c r="GS93" s="3">
        <f t="shared" si="166"/>
        <v>100</v>
      </c>
      <c r="GT93" s="3">
        <f t="shared" si="166"/>
        <v>15.000000000000014</v>
      </c>
      <c r="GU93" s="3">
        <f t="shared" si="166"/>
        <v>335.99999999999994</v>
      </c>
      <c r="GV93" s="3">
        <f t="shared" si="166"/>
        <v>15.000000000000014</v>
      </c>
      <c r="GW93" s="3">
        <f t="shared" si="166"/>
        <v>110.00000000000011</v>
      </c>
      <c r="GX93" s="3">
        <f t="shared" si="166"/>
        <v>90</v>
      </c>
      <c r="GY93" s="3">
        <f t="shared" si="166"/>
        <v>30.000000000000004</v>
      </c>
      <c r="GZ93" s="3">
        <f t="shared" si="166"/>
        <v>29.999999999999982</v>
      </c>
      <c r="HA93" s="3">
        <f t="shared" si="166"/>
        <v>30.000000000000071</v>
      </c>
      <c r="HB93" s="3">
        <f t="shared" si="166"/>
        <v>2.0000000000000018</v>
      </c>
      <c r="HC93" s="3">
        <f t="shared" si="166"/>
        <v>275</v>
      </c>
      <c r="HD93" s="3">
        <f t="shared" si="166"/>
        <v>24.000000000000021</v>
      </c>
      <c r="HE93" s="3">
        <f t="shared" si="166"/>
        <v>665</v>
      </c>
      <c r="HF93" s="3">
        <f t="shared" si="166"/>
        <v>800</v>
      </c>
      <c r="HG93" s="3">
        <f t="shared" si="166"/>
        <v>406</v>
      </c>
      <c r="HH93" s="3">
        <f t="shared" si="166"/>
        <v>53.999999999999972</v>
      </c>
      <c r="HI93" s="3">
        <f t="shared" si="166"/>
        <v>52</v>
      </c>
      <c r="HJ93" s="3">
        <f t="shared" si="166"/>
        <v>34.000000000000007</v>
      </c>
      <c r="HK93" s="3">
        <f t="shared" si="166"/>
        <v>14</v>
      </c>
      <c r="HL93" s="3">
        <f t="shared" si="166"/>
        <v>150</v>
      </c>
      <c r="HM93" s="3">
        <f t="shared" si="166"/>
        <v>89.999999999999645</v>
      </c>
      <c r="HN93" s="3">
        <f t="shared" si="166"/>
        <v>150</v>
      </c>
      <c r="HO93" s="3">
        <f t="shared" si="166"/>
        <v>60.000000000000014</v>
      </c>
      <c r="HP93" s="3">
        <f t="shared" ref="HP93:HV93" si="167">(HP81-HP80)*100*HP82-2*(HP85+HP82*HP86)</f>
        <v>7.9999999999999503</v>
      </c>
      <c r="HQ93" s="3">
        <f t="shared" si="167"/>
        <v>7.9999999999999716</v>
      </c>
      <c r="HR93" s="3">
        <f t="shared" si="167"/>
        <v>10.000000000000284</v>
      </c>
      <c r="HS93" s="3">
        <f t="shared" si="167"/>
        <v>31.999999999999993</v>
      </c>
      <c r="HT93" s="3">
        <f t="shared" si="167"/>
        <v>89.999999999999957</v>
      </c>
      <c r="HU93" s="3">
        <f t="shared" si="167"/>
        <v>60.000000000000284</v>
      </c>
      <c r="HV93" s="3">
        <f t="shared" si="167"/>
        <v>1744.9999999999998</v>
      </c>
      <c r="HW93" s="3">
        <f t="shared" ref="HW93:IC93" si="168">(HW81-HW80)*100*HW82-2*(HW85+HW82*HW86)</f>
        <v>3.9999999999999893</v>
      </c>
      <c r="HX93" s="3">
        <f t="shared" si="168"/>
        <v>29.999999999999943</v>
      </c>
      <c r="HY93" s="3">
        <f t="shared" si="168"/>
        <v>179.99999999999986</v>
      </c>
      <c r="HZ93" s="3">
        <f t="shared" si="168"/>
        <v>50.000000000000142</v>
      </c>
      <c r="IA93" s="3">
        <f t="shared" si="168"/>
        <v>24.000000000000007</v>
      </c>
      <c r="IB93" s="3">
        <f t="shared" si="168"/>
        <v>39.999999999999993</v>
      </c>
      <c r="IC93" s="3">
        <f t="shared" si="168"/>
        <v>36.000000000000007</v>
      </c>
      <c r="ID93" s="3">
        <f t="shared" ref="ID93:II93" si="169">(ID81-ID80)*100*ID82-2*(ID85+ID82*ID86)</f>
        <v>2.0000000000000107</v>
      </c>
      <c r="IE93" s="3">
        <f t="shared" si="169"/>
        <v>30.000000000000014</v>
      </c>
      <c r="IF93" s="3">
        <f t="shared" si="169"/>
        <v>35.000000000000036</v>
      </c>
      <c r="IG93" s="3">
        <f t="shared" si="169"/>
        <v>309.99999999999989</v>
      </c>
      <c r="IH93" s="3">
        <f t="shared" si="169"/>
        <v>120.00000000000011</v>
      </c>
      <c r="II93" s="3">
        <f t="shared" si="169"/>
        <v>-10</v>
      </c>
      <c r="IJ93" s="3">
        <f t="shared" ref="IJ93:IO93" si="170">(IJ81-IJ80)*100*IJ82-2*(IJ85+IJ82*IJ86)</f>
        <v>90</v>
      </c>
      <c r="IK93" s="3">
        <f t="shared" si="170"/>
        <v>214.99999999999986</v>
      </c>
      <c r="IL93" s="3">
        <f t="shared" si="170"/>
        <v>46.000000000000007</v>
      </c>
      <c r="IM93" s="3">
        <f t="shared" si="170"/>
        <v>65</v>
      </c>
      <c r="IN93" s="3">
        <f t="shared" si="170"/>
        <v>55.999999999999986</v>
      </c>
      <c r="IO93" s="3">
        <f t="shared" si="170"/>
        <v>18.000000000000025</v>
      </c>
      <c r="IP93" s="3">
        <f t="shared" ref="IP93:IV93" si="171">(IP81-IP80)*100*IP82-2*(IP85+IP82*IP86)</f>
        <v>82.999999999999972</v>
      </c>
      <c r="IQ93" s="3">
        <f t="shared" si="171"/>
        <v>240</v>
      </c>
      <c r="IR93" s="3">
        <f t="shared" si="171"/>
        <v>32.000000000000014</v>
      </c>
      <c r="IS93" s="3">
        <f t="shared" si="171"/>
        <v>15.000000000000135</v>
      </c>
      <c r="IT93" s="3">
        <f t="shared" si="171"/>
        <v>304.99999999999977</v>
      </c>
      <c r="IU93" s="3">
        <f t="shared" si="171"/>
        <v>-910.00000000000034</v>
      </c>
      <c r="IV93" s="3">
        <f t="shared" si="171"/>
        <v>584.99999999999955</v>
      </c>
      <c r="IW93" s="3">
        <f t="shared" ref="IW93:JL93" si="172">(IW81-IW80)*100*IW82-2*(IW85+IW82*IW86)</f>
        <v>304.99999999999994</v>
      </c>
      <c r="IX93" s="3">
        <f t="shared" si="172"/>
        <v>240</v>
      </c>
      <c r="IY93" s="3">
        <f t="shared" si="172"/>
        <v>30.000000000000014</v>
      </c>
      <c r="IZ93" s="3">
        <f t="shared" si="172"/>
        <v>662.00000000000011</v>
      </c>
      <c r="JA93" s="3">
        <f t="shared" si="172"/>
        <v>28</v>
      </c>
      <c r="JB93" s="3">
        <f t="shared" si="172"/>
        <v>134.00000000000011</v>
      </c>
      <c r="JC93" s="3">
        <f t="shared" si="172"/>
        <v>6.0000000000000142</v>
      </c>
      <c r="JD93" s="3">
        <f t="shared" si="172"/>
        <v>6.0000000000000142</v>
      </c>
      <c r="JE93" s="3">
        <f t="shared" si="172"/>
        <v>31.999999999999993</v>
      </c>
      <c r="JF93" s="3">
        <f t="shared" si="172"/>
        <v>94</v>
      </c>
      <c r="JG93" s="3">
        <f t="shared" si="172"/>
        <v>79.999999999999957</v>
      </c>
      <c r="JH93" s="3">
        <f t="shared" si="172"/>
        <v>35.000000000000043</v>
      </c>
      <c r="JI93" s="3">
        <f t="shared" si="172"/>
        <v>109.99999999999999</v>
      </c>
      <c r="JJ93" s="3">
        <f t="shared" si="172"/>
        <v>84</v>
      </c>
      <c r="JK93" s="3">
        <f t="shared" si="172"/>
        <v>335.99999999999977</v>
      </c>
      <c r="JL93" s="3">
        <f t="shared" si="172"/>
        <v>35.000000000000007</v>
      </c>
      <c r="JM93" s="3">
        <f t="shared" ref="JM93:JW93" si="173">(JM81-JM80)*100*JM82-2*(JM85+JM82*JM86)</f>
        <v>7.0000000000000355</v>
      </c>
      <c r="JN93" s="3">
        <f t="shared" si="173"/>
        <v>355</v>
      </c>
      <c r="JO93" s="3">
        <f t="shared" si="173"/>
        <v>130.00000000000006</v>
      </c>
      <c r="JP93" s="3">
        <f t="shared" si="173"/>
        <v>29.999999999999993</v>
      </c>
      <c r="JQ93" s="3">
        <f t="shared" si="173"/>
        <v>17</v>
      </c>
      <c r="JR93" s="3">
        <f t="shared" si="173"/>
        <v>25</v>
      </c>
      <c r="JS93" s="3">
        <f t="shared" si="173"/>
        <v>115</v>
      </c>
      <c r="JT93" s="3">
        <f t="shared" si="173"/>
        <v>96.000000000000028</v>
      </c>
      <c r="JU93" s="3">
        <f t="shared" si="173"/>
        <v>179.99999999999989</v>
      </c>
      <c r="JV93" s="3">
        <f t="shared" si="173"/>
        <v>32.000000000000007</v>
      </c>
      <c r="JW93" s="3">
        <f t="shared" si="173"/>
        <v>74.999999999999957</v>
      </c>
      <c r="JX93" s="3">
        <f t="shared" ref="JX93:KE93" si="174">(JX81-JX80)*100*JX82-2*(JX85+JX82*JX86)</f>
        <v>383.99999999999983</v>
      </c>
      <c r="JY93" s="3">
        <f t="shared" si="174"/>
        <v>-14.000000000000002</v>
      </c>
      <c r="JZ93" s="3">
        <f t="shared" si="174"/>
        <v>56.000000000000007</v>
      </c>
      <c r="KA93" s="3">
        <f t="shared" si="174"/>
        <v>79.999999999999986</v>
      </c>
      <c r="KB93" s="3">
        <f t="shared" si="174"/>
        <v>52</v>
      </c>
      <c r="KC93" s="3">
        <f t="shared" si="174"/>
        <v>32.000000000000007</v>
      </c>
      <c r="KD93" s="3">
        <f t="shared" si="174"/>
        <v>48.000000000000043</v>
      </c>
      <c r="KE93" s="3">
        <f t="shared" si="174"/>
        <v>145.00000000000003</v>
      </c>
      <c r="KF93" s="3">
        <f t="shared" ref="KF93:KL93" si="175">(KF81-KF80)*100*KF82-2*(KF85+KF82*KF86)</f>
        <v>9.9999999999999858</v>
      </c>
      <c r="KG93" s="3">
        <f t="shared" si="175"/>
        <v>640</v>
      </c>
      <c r="KH93" s="3">
        <f t="shared" si="175"/>
        <v>145.00000000000003</v>
      </c>
      <c r="KI93" s="3">
        <f t="shared" si="175"/>
        <v>255.00000000000003</v>
      </c>
      <c r="KJ93" s="3">
        <f t="shared" si="175"/>
        <v>72</v>
      </c>
      <c r="KK93" s="3">
        <f t="shared" si="175"/>
        <v>47</v>
      </c>
      <c r="KL93" s="3">
        <f t="shared" si="175"/>
        <v>95</v>
      </c>
      <c r="KM93" s="3">
        <f t="shared" ref="KM93:KR93" si="176">(KM81-KM80)*100*KM82-2*(KM85+KM82*KM86)</f>
        <v>252.00000000000006</v>
      </c>
      <c r="KN93" s="3">
        <f t="shared" si="176"/>
        <v>484.99999999999994</v>
      </c>
      <c r="KO93" s="3">
        <f t="shared" si="176"/>
        <v>89.999999999999986</v>
      </c>
      <c r="KP93" s="3">
        <f t="shared" si="176"/>
        <v>185</v>
      </c>
      <c r="KQ93" s="3">
        <f t="shared" si="176"/>
        <v>192</v>
      </c>
      <c r="KR93" s="3">
        <f t="shared" si="176"/>
        <v>156</v>
      </c>
      <c r="KS93" s="3">
        <f t="shared" ref="KS93:MS93" si="177">(KS81-KS80)*100*KS82-2*(KS85+KS82*KS86)</f>
        <v>59.999999999999986</v>
      </c>
      <c r="KT93" s="3">
        <f t="shared" si="177"/>
        <v>650</v>
      </c>
      <c r="KU93" s="3">
        <f t="shared" si="177"/>
        <v>240</v>
      </c>
      <c r="KV93" s="3">
        <f t="shared" si="177"/>
        <v>120.00000000000011</v>
      </c>
      <c r="KW93" s="3">
        <f t="shared" si="177"/>
        <v>50.999999999999858</v>
      </c>
      <c r="KX93" s="3">
        <f t="shared" si="177"/>
        <v>399.99999999999994</v>
      </c>
      <c r="KY93" s="3">
        <f t="shared" si="177"/>
        <v>51.999999999999993</v>
      </c>
      <c r="KZ93" s="3">
        <f t="shared" si="177"/>
        <v>289.99999999999994</v>
      </c>
      <c r="LA93" s="3">
        <f t="shared" si="177"/>
        <v>2040.0000000000005</v>
      </c>
      <c r="LB93" s="3">
        <f t="shared" si="177"/>
        <v>179.99999999999989</v>
      </c>
      <c r="LC93" s="3">
        <f t="shared" si="177"/>
        <v>1799.9999999999989</v>
      </c>
      <c r="LD93" s="3">
        <f t="shared" si="177"/>
        <v>30.000000000000249</v>
      </c>
      <c r="LE93" s="3">
        <f t="shared" si="177"/>
        <v>9.9999999999999858</v>
      </c>
      <c r="LF93" s="3">
        <f t="shared" si="177"/>
        <v>240</v>
      </c>
      <c r="LG93" s="3">
        <f t="shared" si="177"/>
        <v>20.000000000000018</v>
      </c>
      <c r="LH93" s="3">
        <f t="shared" si="177"/>
        <v>20.99999999999995</v>
      </c>
      <c r="LI93" s="3">
        <f t="shared" si="177"/>
        <v>136.00000000000003</v>
      </c>
      <c r="LJ93" s="3">
        <f t="shared" si="177"/>
        <v>1245</v>
      </c>
      <c r="LK93" s="3">
        <f t="shared" si="177"/>
        <v>510.00000000000011</v>
      </c>
      <c r="LL93" s="3">
        <f t="shared" si="177"/>
        <v>12.000000000000011</v>
      </c>
      <c r="LM93" s="3">
        <f t="shared" si="177"/>
        <v>165.00000000000088</v>
      </c>
      <c r="LN93" s="3">
        <f t="shared" si="177"/>
        <v>53.999999999999979</v>
      </c>
      <c r="LO93" s="3">
        <f t="shared" si="177"/>
        <v>219.99999999999974</v>
      </c>
      <c r="LP93" s="3">
        <f t="shared" si="177"/>
        <v>525.00000000000045</v>
      </c>
      <c r="LQ93" s="3">
        <f t="shared" si="177"/>
        <v>8.0000000000000071</v>
      </c>
      <c r="LR93" s="3">
        <f t="shared" si="177"/>
        <v>110.00000000000011</v>
      </c>
      <c r="LS93" s="3">
        <f t="shared" si="177"/>
        <v>14.999999999999996</v>
      </c>
      <c r="LT93" s="3">
        <f t="shared" si="177"/>
        <v>205.00000000000006</v>
      </c>
      <c r="LU93" s="3">
        <f t="shared" si="177"/>
        <v>279.99999999999994</v>
      </c>
      <c r="LV93" s="3">
        <f t="shared" si="177"/>
        <v>34.999999999999872</v>
      </c>
      <c r="LW93" s="3">
        <f t="shared" si="177"/>
        <v>28.000000000000025</v>
      </c>
      <c r="LX93" s="3">
        <f t="shared" si="177"/>
        <v>103.5</v>
      </c>
      <c r="LY93" s="3">
        <f t="shared" si="177"/>
        <v>231</v>
      </c>
      <c r="LZ93" s="3">
        <f t="shared" si="177"/>
        <v>743.50000000000011</v>
      </c>
      <c r="MA93" s="3">
        <f t="shared" si="177"/>
        <v>33.500000000000057</v>
      </c>
      <c r="MB93" s="3">
        <f t="shared" si="177"/>
        <v>424.00000000000017</v>
      </c>
      <c r="MC93" s="3">
        <f t="shared" si="177"/>
        <v>133.49999999999997</v>
      </c>
      <c r="MD93" s="3">
        <f t="shared" si="177"/>
        <v>110.99999999999912</v>
      </c>
      <c r="ME93" s="3">
        <f t="shared" si="177"/>
        <v>248.50000000000057</v>
      </c>
      <c r="MF93" s="3">
        <f t="shared" si="177"/>
        <v>783.5</v>
      </c>
      <c r="MG93" s="3">
        <f t="shared" si="177"/>
        <v>13.000000000000007</v>
      </c>
      <c r="MH93" s="3">
        <f t="shared" si="177"/>
        <v>15.999999999999972</v>
      </c>
      <c r="MI93" s="3">
        <f t="shared" si="177"/>
        <v>1.0000000000001066</v>
      </c>
      <c r="MJ93" s="3">
        <f t="shared" si="177"/>
        <v>450.99999999999977</v>
      </c>
      <c r="MK93" s="3">
        <f t="shared" si="177"/>
        <v>1.0000000000000853</v>
      </c>
      <c r="ML93" s="3">
        <f t="shared" si="177"/>
        <v>207.99999999999983</v>
      </c>
      <c r="MM93" s="3">
        <f t="shared" si="177"/>
        <v>-151.5</v>
      </c>
      <c r="MN93" s="3">
        <f t="shared" si="177"/>
        <v>376.00000000000011</v>
      </c>
      <c r="MO93" s="3">
        <f t="shared" si="177"/>
        <v>300.99999999999989</v>
      </c>
      <c r="MP93" s="3">
        <f t="shared" si="177"/>
        <v>173.49999999999957</v>
      </c>
      <c r="MQ93" s="3">
        <f t="shared" si="177"/>
        <v>13.499999999999982</v>
      </c>
      <c r="MR93" s="3">
        <f t="shared" si="177"/>
        <v>616</v>
      </c>
      <c r="MS93" s="3">
        <f t="shared" si="177"/>
        <v>532.00000000000045</v>
      </c>
    </row>
    <row r="94" spans="1:357" x14ac:dyDescent="0.35">
      <c r="C94" t="s">
        <v>319</v>
      </c>
      <c r="E94" s="8">
        <f t="shared" ref="E94:F94" si="178">IF(E87&lt;=0,E93/((E84-E83)*E82*100)*(50/-E87),E93/E90*(50/E87))</f>
        <v>3.2494758909853254E-2</v>
      </c>
      <c r="F94" s="8">
        <f t="shared" si="178"/>
        <v>5.3846153846153957E-3</v>
      </c>
      <c r="G94" s="8">
        <f t="shared" ref="G94:AQ94" si="179">IF(G87&lt;=0,G93/((G84-G83)*G82*100)*(50/-G87),G93/G90*(50/G87))</f>
        <v>9.7484276729559741E-2</v>
      </c>
      <c r="H94" s="8">
        <f t="shared" si="179"/>
        <v>0.10961538461538461</v>
      </c>
      <c r="I94" s="8">
        <f t="shared" si="179"/>
        <v>0.31034482758620691</v>
      </c>
      <c r="J94" s="8">
        <f t="shared" si="179"/>
        <v>6.1904761904761893E-2</v>
      </c>
      <c r="K94" s="8">
        <f t="shared" si="179"/>
        <v>3.8461538461538457E-2</v>
      </c>
      <c r="L94" s="8">
        <f t="shared" si="179"/>
        <v>6.0459183673469329E-2</v>
      </c>
      <c r="M94" s="8">
        <f t="shared" si="179"/>
        <v>0.21764705882352942</v>
      </c>
      <c r="N94" s="8">
        <f t="shared" si="179"/>
        <v>6.1428571428571478E-2</v>
      </c>
      <c r="O94" s="8">
        <f t="shared" si="179"/>
        <v>5.8536585365853676E-2</v>
      </c>
      <c r="P94" s="8">
        <f t="shared" si="179"/>
        <v>0.1307692307692308</v>
      </c>
      <c r="Q94" s="8">
        <f t="shared" si="179"/>
        <v>6.7499999999999907E-2</v>
      </c>
      <c r="R94" s="8">
        <f t="shared" si="179"/>
        <v>5.614035087719297E-2</v>
      </c>
      <c r="S94" s="8">
        <f t="shared" si="179"/>
        <v>5.4166666666666627E-2</v>
      </c>
      <c r="T94" s="8">
        <f t="shared" si="179"/>
        <v>1.8518518518518479E-2</v>
      </c>
      <c r="U94" s="8">
        <f t="shared" si="179"/>
        <v>1.8959435626102285E-2</v>
      </c>
      <c r="V94" s="8">
        <f t="shared" si="179"/>
        <v>5.4166666666666627E-2</v>
      </c>
      <c r="W94" s="8">
        <f t="shared" si="179"/>
        <v>1.6260162601626018E-2</v>
      </c>
      <c r="X94" s="8">
        <f t="shared" si="179"/>
        <v>0.13157894736842099</v>
      </c>
      <c r="Y94" s="8">
        <f t="shared" si="179"/>
        <v>0.1587837837837838</v>
      </c>
      <c r="Z94" s="8">
        <f t="shared" si="179"/>
        <v>8.1410256410256426E-2</v>
      </c>
      <c r="AA94" s="8">
        <f t="shared" si="179"/>
        <v>2.9874213836478019E-2</v>
      </c>
      <c r="AB94" s="8">
        <f t="shared" si="179"/>
        <v>2.7083333333333317E-2</v>
      </c>
      <c r="AC94" s="8">
        <f t="shared" si="179"/>
        <v>6.4888888888888899E-2</v>
      </c>
      <c r="AD94" s="8">
        <f t="shared" si="179"/>
        <v>1.0000000000000011E-2</v>
      </c>
      <c r="AE94" s="8">
        <f t="shared" si="179"/>
        <v>3.5238095238095249E-2</v>
      </c>
      <c r="AF94" s="8">
        <f t="shared" si="179"/>
        <v>2.5600000000000005E-2</v>
      </c>
      <c r="AG94" s="8">
        <f t="shared" si="179"/>
        <v>0.10000000000000012</v>
      </c>
      <c r="AH94" s="8">
        <f t="shared" si="179"/>
        <v>2.9287722586691659E-2</v>
      </c>
      <c r="AI94" s="8">
        <f t="shared" si="179"/>
        <v>7.0290534208059701E-4</v>
      </c>
      <c r="AJ94" s="8">
        <f t="shared" si="179"/>
        <v>2.5000000000000033E-2</v>
      </c>
      <c r="AK94" s="8">
        <f t="shared" si="179"/>
        <v>2.2058823529411797E-2</v>
      </c>
      <c r="AL94" s="8">
        <f t="shared" si="179"/>
        <v>9.3567251461988285E-2</v>
      </c>
      <c r="AM94" s="8">
        <f t="shared" si="179"/>
        <v>0.37499999999999983</v>
      </c>
      <c r="AN94" s="8">
        <f t="shared" si="179"/>
        <v>0.31249999999999994</v>
      </c>
      <c r="AO94" s="8">
        <f t="shared" si="179"/>
        <v>5.208333333333328E-2</v>
      </c>
      <c r="AP94" s="8">
        <f t="shared" si="179"/>
        <v>0.12566844919786099</v>
      </c>
      <c r="AQ94" s="8">
        <f t="shared" si="179"/>
        <v>9.1666666666666785E-2</v>
      </c>
      <c r="AR94" s="8">
        <f t="shared" ref="AR94:BS94" si="180">IF(AR87&lt;=0,AR93/((AR84-AR83)*AR82*100)*(50/-AR87),AR93/AR90*(50/AR87))</f>
        <v>0.13358778625954201</v>
      </c>
      <c r="AS94" s="8">
        <f t="shared" si="180"/>
        <v>7.6335877862595394E-2</v>
      </c>
      <c r="AT94" s="8">
        <f t="shared" si="180"/>
        <v>0.3858695652173913</v>
      </c>
      <c r="AU94" s="8">
        <f t="shared" si="180"/>
        <v>3.8888888888888876E-2</v>
      </c>
      <c r="AV94" s="8">
        <f t="shared" si="180"/>
        <v>0.15053763440860218</v>
      </c>
      <c r="AW94" s="8">
        <f t="shared" si="180"/>
        <v>0.1344086021505376</v>
      </c>
      <c r="AX94" s="8">
        <f t="shared" si="180"/>
        <v>2.348484848484849E-2</v>
      </c>
      <c r="AY94" s="8">
        <f t="shared" si="180"/>
        <v>1.7424242424242425E-2</v>
      </c>
      <c r="AZ94" s="8">
        <f t="shared" si="180"/>
        <v>0.26363636363636356</v>
      </c>
      <c r="BA94" s="8">
        <f t="shared" si="180"/>
        <v>0.13492063492063497</v>
      </c>
      <c r="BB94" s="8">
        <f t="shared" si="180"/>
        <v>7.5595238095238104E-2</v>
      </c>
      <c r="BC94" s="8">
        <f t="shared" si="180"/>
        <v>4.7142857142857188E-2</v>
      </c>
      <c r="BD94" s="8">
        <f t="shared" si="180"/>
        <v>2.1000000000000133E-2</v>
      </c>
      <c r="BE94" s="8">
        <f t="shared" si="180"/>
        <v>2.8828828828828836E-2</v>
      </c>
      <c r="BF94" s="8">
        <f t="shared" si="180"/>
        <v>0.12986111111111109</v>
      </c>
      <c r="BG94" s="8">
        <f t="shared" si="180"/>
        <v>7.6822916666666657E-2</v>
      </c>
      <c r="BH94" s="8">
        <f t="shared" si="180"/>
        <v>7.731092436974793E-2</v>
      </c>
      <c r="BI94" s="8">
        <f t="shared" si="180"/>
        <v>0.13188976377952749</v>
      </c>
      <c r="BJ94" s="8">
        <f t="shared" si="180"/>
        <v>9.4488188976378007E-2</v>
      </c>
      <c r="BK94" s="8">
        <f t="shared" si="180"/>
        <v>8.2575757575757594E-2</v>
      </c>
      <c r="BL94" s="8">
        <f t="shared" si="180"/>
        <v>5.9740259740259774E-2</v>
      </c>
      <c r="BM94" s="8">
        <f t="shared" si="180"/>
        <v>-7.1272727272727286E-3</v>
      </c>
      <c r="BN94" s="8">
        <f t="shared" si="180"/>
        <v>3.9705882352941216E-2</v>
      </c>
      <c r="BO94" s="8">
        <f t="shared" si="180"/>
        <v>6.0763888888888846E-2</v>
      </c>
      <c r="BP94" s="8">
        <f t="shared" si="180"/>
        <v>3.819444444444442E-2</v>
      </c>
      <c r="BQ94" s="8">
        <f t="shared" si="180"/>
        <v>1.1999999999999971E-2</v>
      </c>
      <c r="BR94" s="8">
        <f t="shared" si="180"/>
        <v>0.18499999999999964</v>
      </c>
      <c r="BS94" s="8">
        <f t="shared" si="180"/>
        <v>0.12500000000000178</v>
      </c>
      <c r="BT94" s="8">
        <f t="shared" ref="BT94:CI94" si="181">IF(BT87&lt;=0,BT93/((BT84-BT83)*BT82*100)*(50/-BT87),BT93/BT90*(50/BT87))</f>
        <v>1.7857142857142873E-2</v>
      </c>
      <c r="BU94" s="8">
        <f t="shared" si="181"/>
        <v>0.441176470588235</v>
      </c>
      <c r="BV94" s="8">
        <f t="shared" si="181"/>
        <v>1.9736842105263178E-2</v>
      </c>
      <c r="BW94" s="8">
        <f t="shared" si="181"/>
        <v>6.5789473684210592E-2</v>
      </c>
      <c r="BX94" s="8">
        <f t="shared" si="181"/>
        <v>0.17045454545454547</v>
      </c>
      <c r="BY94" s="8">
        <f t="shared" si="181"/>
        <v>3.5714285714285747E-2</v>
      </c>
      <c r="BZ94" s="8">
        <f t="shared" si="181"/>
        <v>0.47058823529411753</v>
      </c>
      <c r="CA94" s="8">
        <f t="shared" si="181"/>
        <v>0.16483516483516486</v>
      </c>
      <c r="CB94" s="8">
        <f t="shared" si="181"/>
        <v>0.21978021978021978</v>
      </c>
      <c r="CC94" s="8">
        <f t="shared" si="181"/>
        <v>0.1818181818181818</v>
      </c>
      <c r="CD94" s="8">
        <f t="shared" si="181"/>
        <v>5.1724137931034447E-2</v>
      </c>
      <c r="CE94" s="8">
        <f t="shared" si="181"/>
        <v>0.186046511627907</v>
      </c>
      <c r="CF94" s="8">
        <f t="shared" si="181"/>
        <v>0.19034090909090909</v>
      </c>
      <c r="CG94" s="8">
        <f t="shared" si="181"/>
        <v>0.40000000000000036</v>
      </c>
      <c r="CH94" s="8">
        <f t="shared" si="181"/>
        <v>0.37499999999999978</v>
      </c>
      <c r="CI94" s="8">
        <f t="shared" si="181"/>
        <v>0.17999999999999994</v>
      </c>
      <c r="CJ94" s="8">
        <f t="shared" ref="CJ94:DD94" si="182">IF(CJ87&lt;=0,CJ93/((CJ84-CJ83)*CJ82*100)*(50/-CJ87),CJ93/CJ90*(50/CJ87))</f>
        <v>1.3333333333333348E-2</v>
      </c>
      <c r="CK94" s="8">
        <f t="shared" si="182"/>
        <v>7.5268817204300464E-3</v>
      </c>
      <c r="CL94" s="8">
        <f t="shared" si="182"/>
        <v>6.8888888888888902E-2</v>
      </c>
      <c r="CM94" s="8">
        <f t="shared" si="182"/>
        <v>5.185185185185185E-2</v>
      </c>
      <c r="CN94" s="8">
        <f t="shared" si="182"/>
        <v>3.4722222222222231E-2</v>
      </c>
      <c r="CO94" s="8">
        <f t="shared" si="182"/>
        <v>2.1701388888888975E-2</v>
      </c>
      <c r="CP94" s="8">
        <f t="shared" si="182"/>
        <v>1.9097222222222286E-2</v>
      </c>
      <c r="CQ94" s="8">
        <f t="shared" si="182"/>
        <v>0.11333333333333338</v>
      </c>
      <c r="CR94" s="8">
        <f t="shared" si="182"/>
        <v>0.10333333333333336</v>
      </c>
      <c r="CS94" s="8">
        <f t="shared" si="182"/>
        <v>3.6604361370716536E-2</v>
      </c>
      <c r="CT94" s="8">
        <f t="shared" si="182"/>
        <v>1.6975308641975297E-2</v>
      </c>
      <c r="CU94" s="8">
        <f t="shared" si="182"/>
        <v>0.18750000000000003</v>
      </c>
      <c r="CV94" s="8">
        <f t="shared" si="182"/>
        <v>9.7378277153558068E-2</v>
      </c>
      <c r="CW94" s="8">
        <f t="shared" si="182"/>
        <v>1.8726591760299708E-3</v>
      </c>
      <c r="CX94" s="8">
        <f t="shared" si="182"/>
        <v>0.29000000000000004</v>
      </c>
      <c r="CY94" s="8">
        <f t="shared" si="182"/>
        <v>0.26499999999999996</v>
      </c>
      <c r="CZ94" s="8">
        <f t="shared" si="182"/>
        <v>0.29310344827586204</v>
      </c>
      <c r="DA94" s="8">
        <f t="shared" si="182"/>
        <v>0.15769230769230769</v>
      </c>
      <c r="DB94" s="8">
        <f t="shared" si="182"/>
        <v>1.2307692307692318E-2</v>
      </c>
      <c r="DC94" s="8">
        <f t="shared" si="182"/>
        <v>0.69364161849710981</v>
      </c>
      <c r="DD94" s="8">
        <f t="shared" si="182"/>
        <v>1.5384615384615398E-2</v>
      </c>
      <c r="DE94" s="8">
        <f t="shared" ref="DE94:DK94" si="183">IF(DE87&lt;=0,DE93/((DE84-DE83)*DE82*100)*(50/-DE87),DE93/DE90*(50/DE87))</f>
        <v>0.10909090909090907</v>
      </c>
      <c r="DF94" s="8">
        <f t="shared" si="183"/>
        <v>0.16145833333333337</v>
      </c>
      <c r="DG94" s="8">
        <f t="shared" si="183"/>
        <v>0.10416666666666667</v>
      </c>
      <c r="DH94" s="8">
        <f t="shared" si="183"/>
        <v>3.4705882352941177E-2</v>
      </c>
      <c r="DI94" s="8">
        <f t="shared" si="183"/>
        <v>3.529411764705883E-2</v>
      </c>
      <c r="DJ94" s="8">
        <f t="shared" si="183"/>
        <v>9.0909090909090995E-2</v>
      </c>
      <c r="DK94" s="8">
        <f t="shared" si="183"/>
        <v>0.30555555555555552</v>
      </c>
      <c r="DL94" s="8">
        <f t="shared" ref="DL94:FW94" si="184">IF(DL87&lt;=0,DL93/((DL84-DL83)*DL82*100)*(50/-DL87),DL93/DL90*(50/DL87))</f>
        <v>0.13608562691131496</v>
      </c>
      <c r="DM94" s="8">
        <f t="shared" si="184"/>
        <v>7.7160493827160476E-2</v>
      </c>
      <c r="DN94" s="8">
        <f t="shared" si="184"/>
        <v>9.4202898550724654E-2</v>
      </c>
      <c r="DO94" s="8">
        <f t="shared" si="184"/>
        <v>2.5806451612903188E-2</v>
      </c>
      <c r="DP94" s="8">
        <f t="shared" si="184"/>
        <v>1.2903225806451625E-2</v>
      </c>
      <c r="DQ94" s="8">
        <f t="shared" si="184"/>
        <v>1.3888888888888902E-2</v>
      </c>
      <c r="DR94" s="8">
        <f t="shared" si="184"/>
        <v>3.5460992907801449E-2</v>
      </c>
      <c r="DS94" s="8">
        <f t="shared" si="184"/>
        <v>6.0283687943262471E-2</v>
      </c>
      <c r="DT94" s="8">
        <f t="shared" si="184"/>
        <v>2.5000000000000022E-2</v>
      </c>
      <c r="DU94" s="8">
        <f t="shared" si="184"/>
        <v>0.20108695652173908</v>
      </c>
      <c r="DV94" s="8">
        <f t="shared" si="184"/>
        <v>3.3333333333333414E-3</v>
      </c>
      <c r="DW94" s="8">
        <f t="shared" si="184"/>
        <v>0.2119565217391304</v>
      </c>
      <c r="DX94" s="8">
        <f t="shared" si="184"/>
        <v>0.12820512820512819</v>
      </c>
      <c r="DY94" s="8">
        <f t="shared" si="184"/>
        <v>0.12820512820512819</v>
      </c>
      <c r="DZ94" s="8">
        <f t="shared" si="184"/>
        <v>0.22222222222222213</v>
      </c>
      <c r="EA94" s="8">
        <f t="shared" si="184"/>
        <v>1.3333333333333346E-2</v>
      </c>
      <c r="EB94" s="8">
        <f t="shared" si="184"/>
        <v>9.1743119266055023E-2</v>
      </c>
      <c r="EC94" s="8">
        <f t="shared" si="184"/>
        <v>0.12614678899082576</v>
      </c>
      <c r="ED94" s="8">
        <f t="shared" si="184"/>
        <v>0.23148148148148145</v>
      </c>
      <c r="EE94" s="8">
        <f t="shared" si="184"/>
        <v>0.24305555555555555</v>
      </c>
      <c r="EF94" s="8">
        <f t="shared" si="184"/>
        <v>6.9148936170212824E-2</v>
      </c>
      <c r="EG94" s="8">
        <f t="shared" si="184"/>
        <v>9.202453987730061E-2</v>
      </c>
      <c r="EH94" s="8">
        <f t="shared" si="184"/>
        <v>6.9148936170212824E-2</v>
      </c>
      <c r="EI94" s="8">
        <f t="shared" si="184"/>
        <v>5.2083333333332229E-3</v>
      </c>
      <c r="EJ94" s="8">
        <f t="shared" si="184"/>
        <v>3.3333333333333214E-3</v>
      </c>
      <c r="EK94" s="8">
        <f t="shared" si="184"/>
        <v>4.3859649122807057E-2</v>
      </c>
      <c r="EL94" s="8">
        <f t="shared" si="184"/>
        <v>0</v>
      </c>
      <c r="EM94" s="8">
        <f t="shared" si="184"/>
        <v>9.1370558375634486E-2</v>
      </c>
      <c r="EN94" s="8">
        <f t="shared" si="184"/>
        <v>0.16666666666666669</v>
      </c>
      <c r="EO94" s="8">
        <f t="shared" si="184"/>
        <v>0.24324324324324326</v>
      </c>
      <c r="EP94" s="8">
        <f t="shared" si="184"/>
        <v>0.27027027027027029</v>
      </c>
      <c r="EQ94" s="8">
        <f t="shared" si="184"/>
        <v>0.15897435897435902</v>
      </c>
      <c r="ER94" s="8">
        <f t="shared" si="184"/>
        <v>7.5757575757575787E-2</v>
      </c>
      <c r="ES94" s="8">
        <f t="shared" si="184"/>
        <v>6.7340067340067242E-2</v>
      </c>
      <c r="ET94" s="8">
        <f t="shared" si="184"/>
        <v>0.11320754716981132</v>
      </c>
      <c r="EU94" s="8">
        <f t="shared" si="184"/>
        <v>0.12820512820512819</v>
      </c>
      <c r="EV94" s="8">
        <f t="shared" si="184"/>
        <v>0.13846153846153847</v>
      </c>
      <c r="EW94" s="8">
        <f t="shared" si="184"/>
        <v>8.3333333333333315E-2</v>
      </c>
      <c r="EX94" s="8">
        <f t="shared" si="184"/>
        <v>7.9166666666666635E-2</v>
      </c>
      <c r="EY94" s="8">
        <f t="shared" si="184"/>
        <v>1.0256410256410265E-2</v>
      </c>
      <c r="EZ94" s="8">
        <f t="shared" si="184"/>
        <v>0.17346938775510204</v>
      </c>
      <c r="FA94" s="8">
        <f t="shared" si="184"/>
        <v>0.18965517241379309</v>
      </c>
      <c r="FB94" s="8">
        <f t="shared" si="184"/>
        <v>1.8749999999999989E-2</v>
      </c>
      <c r="FC94" s="8">
        <f t="shared" si="184"/>
        <v>5.3097345132743286E-2</v>
      </c>
      <c r="FD94" s="8">
        <f t="shared" si="184"/>
        <v>0.21828908554572274</v>
      </c>
      <c r="FE94" s="8">
        <f t="shared" si="184"/>
        <v>0.27777777777777779</v>
      </c>
      <c r="FF94" s="8">
        <f t="shared" si="184"/>
        <v>3.5714285714285747E-2</v>
      </c>
      <c r="FG94" s="8">
        <f t="shared" si="184"/>
        <v>9.2672413793103439E-2</v>
      </c>
      <c r="FH94" s="8">
        <f t="shared" si="184"/>
        <v>2.3809523809523832E-2</v>
      </c>
      <c r="FI94" s="8">
        <f t="shared" si="184"/>
        <v>8.2098765432098764E-2</v>
      </c>
      <c r="FJ94" s="8">
        <f t="shared" si="184"/>
        <v>5.4968944099378858E-2</v>
      </c>
      <c r="FK94" s="8">
        <f t="shared" si="184"/>
        <v>6.2962962962962943E-2</v>
      </c>
      <c r="FL94" s="8">
        <f t="shared" si="184"/>
        <v>2.87096774193548E-2</v>
      </c>
      <c r="FM94" s="8">
        <f t="shared" si="184"/>
        <v>0.10200000000000001</v>
      </c>
      <c r="FN94" s="8">
        <f t="shared" si="184"/>
        <v>0.22916666666666663</v>
      </c>
      <c r="FO94" s="8">
        <f t="shared" si="184"/>
        <v>9.203036053130928E-2</v>
      </c>
      <c r="FP94" s="8">
        <f t="shared" si="184"/>
        <v>3.5104364326375703E-2</v>
      </c>
      <c r="FQ94" s="8">
        <f t="shared" si="184"/>
        <v>8.4745762711864389E-2</v>
      </c>
      <c r="FR94" s="8">
        <f t="shared" si="184"/>
        <v>9.166666666666666E-2</v>
      </c>
      <c r="FS94" s="8">
        <f t="shared" si="184"/>
        <v>9.3333333333333338E-2</v>
      </c>
      <c r="FT94" s="8">
        <f t="shared" si="184"/>
        <v>9.4339622641509396E-3</v>
      </c>
      <c r="FU94" s="8">
        <f t="shared" si="184"/>
        <v>0.19230769230769232</v>
      </c>
      <c r="FV94" s="8">
        <f t="shared" si="184"/>
        <v>-7.9999999999999707E-3</v>
      </c>
      <c r="FW94" s="8">
        <f t="shared" si="184"/>
        <v>0.14601769911504428</v>
      </c>
      <c r="FX94" s="8">
        <f t="shared" ref="FX94:II94" si="185">IF(FX87&lt;=0,FX93/((FX84-FX83)*FX82*100)*(50/-FX87),FX93/FX90*(50/FX87))</f>
        <v>1.612903225806453E-2</v>
      </c>
      <c r="FY94" s="8">
        <f t="shared" si="185"/>
        <v>0.13333333333333325</v>
      </c>
      <c r="FZ94" s="8">
        <f t="shared" si="185"/>
        <v>0.25806451612903225</v>
      </c>
      <c r="GA94" s="8">
        <f t="shared" si="185"/>
        <v>0.25268817204301075</v>
      </c>
      <c r="GB94" s="8">
        <f t="shared" si="185"/>
        <v>0.19911504424778764</v>
      </c>
      <c r="GC94" s="8">
        <f t="shared" si="185"/>
        <v>8.6206896551724206E-3</v>
      </c>
      <c r="GD94" s="8">
        <f t="shared" si="185"/>
        <v>4.545454545454547E-2</v>
      </c>
      <c r="GE94" s="8">
        <f t="shared" si="185"/>
        <v>2.8985507246376822E-2</v>
      </c>
      <c r="GF94" s="8">
        <f t="shared" si="185"/>
        <v>0.12903225806451621</v>
      </c>
      <c r="GG94" s="8">
        <f t="shared" si="185"/>
        <v>3.0973451327433604E-2</v>
      </c>
      <c r="GH94" s="8">
        <f t="shared" si="185"/>
        <v>4.5045045045045293E-2</v>
      </c>
      <c r="GI94" s="8">
        <f t="shared" si="185"/>
        <v>7.8125E-3</v>
      </c>
      <c r="GJ94" s="8">
        <f t="shared" si="185"/>
        <v>7.8125E-3</v>
      </c>
      <c r="GK94" s="8">
        <f t="shared" si="185"/>
        <v>9.3749999999999858E-3</v>
      </c>
      <c r="GL94" s="8">
        <f t="shared" si="185"/>
        <v>1.805555555555555E-2</v>
      </c>
      <c r="GM94" s="8">
        <f t="shared" si="185"/>
        <v>0.1157407407407408</v>
      </c>
      <c r="GN94" s="8">
        <f t="shared" si="185"/>
        <v>0.1</v>
      </c>
      <c r="GO94" s="8">
        <f t="shared" si="185"/>
        <v>9.6153846153846187E-2</v>
      </c>
      <c r="GP94" s="8">
        <f t="shared" si="185"/>
        <v>4.807692307692301E-2</v>
      </c>
      <c r="GQ94" s="8">
        <f t="shared" si="185"/>
        <v>1.3636363636363599E-2</v>
      </c>
      <c r="GR94" s="8">
        <f t="shared" si="185"/>
        <v>0.14423076923076919</v>
      </c>
      <c r="GS94" s="8">
        <f t="shared" si="185"/>
        <v>0.11111111111111113</v>
      </c>
      <c r="GT94" s="8">
        <f t="shared" si="185"/>
        <v>5.0847457627118689E-2</v>
      </c>
      <c r="GU94" s="8">
        <f t="shared" si="185"/>
        <v>8.467741935483869E-2</v>
      </c>
      <c r="GV94" s="8">
        <f t="shared" si="185"/>
        <v>3.3333333333333368E-2</v>
      </c>
      <c r="GW94" s="8">
        <f t="shared" si="185"/>
        <v>0.59459459459459518</v>
      </c>
      <c r="GX94" s="8">
        <f t="shared" si="185"/>
        <v>5.4054054054054057E-2</v>
      </c>
      <c r="GY94" s="8">
        <f t="shared" si="185"/>
        <v>0.05</v>
      </c>
      <c r="GZ94" s="8">
        <f t="shared" si="185"/>
        <v>0.13157894736842099</v>
      </c>
      <c r="HA94" s="8">
        <f t="shared" si="185"/>
        <v>6.5217391304347979E-3</v>
      </c>
      <c r="HB94" s="8">
        <f t="shared" si="185"/>
        <v>2.8571428571428597E-3</v>
      </c>
      <c r="HC94" s="8">
        <f t="shared" si="185"/>
        <v>4.7413793103448275E-3</v>
      </c>
      <c r="HD94" s="8">
        <f t="shared" si="185"/>
        <v>2.7777777777777804E-2</v>
      </c>
      <c r="HE94" s="8">
        <f t="shared" si="185"/>
        <v>0.13854166666666667</v>
      </c>
      <c r="HF94" s="8">
        <f t="shared" si="185"/>
        <v>1.6016016016016016E-2</v>
      </c>
      <c r="HG94" s="8">
        <f t="shared" si="185"/>
        <v>0.13642473118279572</v>
      </c>
      <c r="HH94" s="8">
        <f t="shared" si="185"/>
        <v>8.9999999999999955E-2</v>
      </c>
      <c r="HI94" s="8">
        <f t="shared" si="185"/>
        <v>0.18309859154929578</v>
      </c>
      <c r="HJ94" s="8">
        <f t="shared" si="185"/>
        <v>0.12142857142857147</v>
      </c>
      <c r="HK94" s="8">
        <f t="shared" si="185"/>
        <v>4.6666666666666669E-2</v>
      </c>
      <c r="HL94" s="8">
        <f t="shared" si="185"/>
        <v>0.27777777777777779</v>
      </c>
      <c r="HM94" s="8">
        <f t="shared" si="185"/>
        <v>1.4999999999999942E-2</v>
      </c>
      <c r="HN94" s="8">
        <f t="shared" si="185"/>
        <v>0.16592920353982302</v>
      </c>
      <c r="HO94" s="8">
        <f t="shared" si="185"/>
        <v>5.2816901408450717E-2</v>
      </c>
      <c r="HP94" s="8">
        <f t="shared" si="185"/>
        <v>2.2222222222222084E-2</v>
      </c>
      <c r="HQ94" s="8">
        <f t="shared" si="185"/>
        <v>3.9682539682539542E-3</v>
      </c>
      <c r="HR94" s="8">
        <f t="shared" si="185"/>
        <v>2.7777777777778568E-3</v>
      </c>
      <c r="HS94" s="8">
        <f t="shared" si="185"/>
        <v>7.0796460176991136E-2</v>
      </c>
      <c r="HT94" s="8">
        <f t="shared" si="185"/>
        <v>0.15624999999999992</v>
      </c>
      <c r="HU94" s="8">
        <f t="shared" si="185"/>
        <v>9.2024539877301054E-3</v>
      </c>
      <c r="HV94" s="8">
        <f t="shared" si="185"/>
        <v>0.20196759259259256</v>
      </c>
      <c r="HW94" s="8">
        <f t="shared" si="185"/>
        <v>3.124999999999992E-2</v>
      </c>
      <c r="HX94" s="8">
        <f t="shared" si="185"/>
        <v>3.9682539682539611E-2</v>
      </c>
      <c r="HY94" s="8">
        <f t="shared" si="185"/>
        <v>3.6585365853658514E-2</v>
      </c>
      <c r="HZ94" s="8">
        <f t="shared" si="185"/>
        <v>2.5201612903225878E-2</v>
      </c>
      <c r="IA94" s="8">
        <f t="shared" si="185"/>
        <v>8.0000000000000029E-2</v>
      </c>
      <c r="IB94" s="8">
        <f t="shared" si="185"/>
        <v>6.5573770491803268E-2</v>
      </c>
      <c r="IC94" s="8">
        <f t="shared" si="185"/>
        <v>5.3097345132743376E-2</v>
      </c>
      <c r="ID94" s="8">
        <f t="shared" si="185"/>
        <v>1.5151515151515232E-3</v>
      </c>
      <c r="IE94" s="8">
        <f t="shared" si="185"/>
        <v>7.8125000000000042E-2</v>
      </c>
      <c r="IF94" s="8">
        <f t="shared" si="185"/>
        <v>3.0701754385964945E-2</v>
      </c>
      <c r="IG94" s="8">
        <f t="shared" si="185"/>
        <v>3.0753968253968245E-2</v>
      </c>
      <c r="IH94" s="8">
        <f t="shared" si="185"/>
        <v>0.30000000000000027</v>
      </c>
      <c r="II94" s="8">
        <f t="shared" si="185"/>
        <v>-5.0403225806451612E-3</v>
      </c>
      <c r="IJ94" s="8">
        <f t="shared" ref="IJ94:KU94" si="186">IF(IJ87&lt;=0,IJ93/((IJ84-IJ83)*IJ82*100)*(50/-IJ87),IJ93/IJ90*(50/IJ87))</f>
        <v>4.4466403162055343E-2</v>
      </c>
      <c r="IK94" s="8">
        <f t="shared" si="186"/>
        <v>1.5716374269005837E-2</v>
      </c>
      <c r="IL94" s="8">
        <f t="shared" si="186"/>
        <v>0.20175438596491233</v>
      </c>
      <c r="IM94" s="8">
        <f t="shared" si="186"/>
        <v>0.4088050314465409</v>
      </c>
      <c r="IN94" s="8">
        <f t="shared" si="186"/>
        <v>9.7222222222222196E-2</v>
      </c>
      <c r="IO94" s="8">
        <f t="shared" si="186"/>
        <v>3.0000000000000044E-2</v>
      </c>
      <c r="IP94" s="8">
        <f t="shared" si="186"/>
        <v>0.13833333333333328</v>
      </c>
      <c r="IQ94" s="8">
        <f t="shared" si="186"/>
        <v>0.4</v>
      </c>
      <c r="IR94" s="8">
        <f t="shared" si="186"/>
        <v>5.9259259259259289E-2</v>
      </c>
      <c r="IS94" s="8">
        <f t="shared" si="186"/>
        <v>9.6153846153847027E-3</v>
      </c>
      <c r="IT94" s="8">
        <f t="shared" si="186"/>
        <v>3.6835748792270508E-2</v>
      </c>
      <c r="IU94" s="8">
        <f t="shared" si="186"/>
        <v>-0.12037037037037042</v>
      </c>
      <c r="IV94" s="8">
        <f t="shared" si="186"/>
        <v>4.0966386554621821E-2</v>
      </c>
      <c r="IW94" s="8">
        <f t="shared" si="186"/>
        <v>4.5386904761904753E-2</v>
      </c>
      <c r="IX94" s="8">
        <f t="shared" si="186"/>
        <v>0.45283018867924529</v>
      </c>
      <c r="IY94" s="8">
        <f t="shared" si="186"/>
        <v>6.5789473684210564E-2</v>
      </c>
      <c r="IZ94" s="8">
        <f t="shared" si="186"/>
        <v>8.3249496981891352E-2</v>
      </c>
      <c r="JA94" s="8">
        <f t="shared" si="186"/>
        <v>0.21875000000000003</v>
      </c>
      <c r="JB94" s="8">
        <f t="shared" si="186"/>
        <v>6.5429687500000056E-2</v>
      </c>
      <c r="JC94" s="8">
        <f t="shared" si="186"/>
        <v>4.2372881355932307E-3</v>
      </c>
      <c r="JD94" s="8">
        <f t="shared" si="186"/>
        <v>4.3103448275862172E-3</v>
      </c>
      <c r="JE94" s="8">
        <f t="shared" si="186"/>
        <v>0.1333333333333333</v>
      </c>
      <c r="JF94" s="8">
        <f t="shared" si="186"/>
        <v>0.40517241379310343</v>
      </c>
      <c r="JG94" s="8">
        <f t="shared" si="186"/>
        <v>4.040404040404038E-2</v>
      </c>
      <c r="JH94" s="8">
        <f t="shared" si="186"/>
        <v>3.7037037037037084E-2</v>
      </c>
      <c r="JI94" s="8">
        <f t="shared" si="186"/>
        <v>0.13580246913580246</v>
      </c>
      <c r="JJ94" s="8">
        <f t="shared" si="186"/>
        <v>0.13636363636363638</v>
      </c>
      <c r="JK94" s="8">
        <f t="shared" si="186"/>
        <v>3.9772727272727244E-2</v>
      </c>
      <c r="JL94" s="8">
        <f t="shared" si="186"/>
        <v>3.4722222222222231E-2</v>
      </c>
      <c r="JM94" s="8">
        <f t="shared" si="186"/>
        <v>2.5362318840579843E-3</v>
      </c>
      <c r="JN94" s="8">
        <f t="shared" si="186"/>
        <v>2.4695652173913042E-2</v>
      </c>
      <c r="JO94" s="8">
        <f t="shared" si="186"/>
        <v>7.6112412177985977E-2</v>
      </c>
      <c r="JP94" s="8">
        <f t="shared" si="186"/>
        <v>1.2668918918918916E-2</v>
      </c>
      <c r="JQ94" s="8">
        <f t="shared" si="186"/>
        <v>6.1594202898550736E-3</v>
      </c>
      <c r="JR94" s="8">
        <f t="shared" si="186"/>
        <v>0.16891891891891891</v>
      </c>
      <c r="JS94" s="8">
        <f t="shared" si="186"/>
        <v>0.10550458715596329</v>
      </c>
      <c r="JT94" s="8">
        <f t="shared" si="186"/>
        <v>0.20000000000000007</v>
      </c>
      <c r="JU94" s="8">
        <f t="shared" si="186"/>
        <v>4.0760869565217364E-2</v>
      </c>
      <c r="JV94" s="8">
        <f t="shared" si="186"/>
        <v>0.10810810810810813</v>
      </c>
      <c r="JW94" s="8">
        <f t="shared" si="186"/>
        <v>6.8807339449541247E-2</v>
      </c>
      <c r="JX94" s="8">
        <f t="shared" si="186"/>
        <v>4.3478260869565195E-2</v>
      </c>
      <c r="JY94" s="8">
        <f t="shared" si="186"/>
        <v>-0.10937500000000001</v>
      </c>
      <c r="JZ94" s="8">
        <f t="shared" si="186"/>
        <v>0.22950819672131151</v>
      </c>
      <c r="KA94" s="8">
        <f t="shared" si="186"/>
        <v>7.5757575757575746E-2</v>
      </c>
      <c r="KB94" s="8">
        <f t="shared" si="186"/>
        <v>9.7014925373134331E-2</v>
      </c>
      <c r="KC94" s="8">
        <f t="shared" si="186"/>
        <v>0.11764705882352944</v>
      </c>
      <c r="KD94" s="8">
        <f t="shared" si="186"/>
        <v>1.3333333333333346E-2</v>
      </c>
      <c r="KE94" s="8">
        <f t="shared" si="186"/>
        <v>1.4500000000000002E-2</v>
      </c>
      <c r="KF94" s="8">
        <f t="shared" si="186"/>
        <v>4.2372881355932146E-2</v>
      </c>
      <c r="KG94" s="8">
        <f t="shared" si="186"/>
        <v>0.56140350877192979</v>
      </c>
      <c r="KH94" s="8">
        <f t="shared" si="186"/>
        <v>1.4500000000000002E-2</v>
      </c>
      <c r="KI94" s="8">
        <f t="shared" si="186"/>
        <v>7.8125E-2</v>
      </c>
      <c r="KJ94" s="8">
        <f t="shared" si="186"/>
        <v>0.12</v>
      </c>
      <c r="KK94" s="8">
        <f t="shared" si="186"/>
        <v>3.9330543933054393E-2</v>
      </c>
      <c r="KL94" s="8">
        <f t="shared" si="186"/>
        <v>0.19587628865979381</v>
      </c>
      <c r="KM94" s="8">
        <f t="shared" si="186"/>
        <v>0.42000000000000004</v>
      </c>
      <c r="KN94" s="8">
        <f t="shared" si="186"/>
        <v>0.41101694915254233</v>
      </c>
      <c r="KO94" s="8">
        <f t="shared" si="186"/>
        <v>0.18145161290322578</v>
      </c>
      <c r="KP94" s="8">
        <f t="shared" si="186"/>
        <v>0.43023255813953487</v>
      </c>
      <c r="KQ94" s="8">
        <f t="shared" si="186"/>
        <v>0.32</v>
      </c>
      <c r="KR94" s="8">
        <f t="shared" si="186"/>
        <v>4.3333333333333339</v>
      </c>
      <c r="KS94" s="8">
        <f t="shared" si="186"/>
        <v>2.4999999999999996</v>
      </c>
      <c r="KT94" s="8">
        <f t="shared" si="186"/>
        <v>2.5490196078431372E-2</v>
      </c>
      <c r="KU94" s="8">
        <f t="shared" si="186"/>
        <v>0.4</v>
      </c>
      <c r="KV94" s="8">
        <f t="shared" ref="KV94:MS94" si="187">IF(KV87&lt;=0,KV93/((KV84-KV83)*KV82*100)*(50/-KV87),KV93/KV90*(50/KV87))</f>
        <v>1.0695187165775413E-2</v>
      </c>
      <c r="KW94" s="8">
        <f t="shared" si="187"/>
        <v>3.1249999999999913E-2</v>
      </c>
      <c r="KX94" s="8">
        <f t="shared" si="187"/>
        <v>1.1267605633802816E-2</v>
      </c>
      <c r="KY94" s="8">
        <f t="shared" si="187"/>
        <v>3.2499999999999996</v>
      </c>
      <c r="KZ94" s="8">
        <f t="shared" si="187"/>
        <v>3.6249999999999991</v>
      </c>
      <c r="LA94" s="8">
        <f t="shared" si="187"/>
        <v>3.0630630630630637E-2</v>
      </c>
      <c r="LB94" s="8">
        <f t="shared" si="187"/>
        <v>2.7272727272727253</v>
      </c>
      <c r="LC94" s="8">
        <f t="shared" si="187"/>
        <v>1.8018018018018007E-2</v>
      </c>
      <c r="LD94" s="8">
        <f t="shared" si="187"/>
        <v>6.5789473684211078E-3</v>
      </c>
      <c r="LE94" s="8">
        <f t="shared" si="187"/>
        <v>0.10416666666666652</v>
      </c>
      <c r="LF94" s="8">
        <f t="shared" si="187"/>
        <v>2.8169014084507046E-2</v>
      </c>
      <c r="LG94" s="8">
        <f t="shared" si="187"/>
        <v>9.5238095238095333E-3</v>
      </c>
      <c r="LH94" s="8">
        <f t="shared" si="187"/>
        <v>2.0833333333333287E-2</v>
      </c>
      <c r="LI94" s="8">
        <f t="shared" si="187"/>
        <v>8.3333333333333343E-2</v>
      </c>
      <c r="LJ94" s="8">
        <f t="shared" si="187"/>
        <v>6.2312312312312317E-2</v>
      </c>
      <c r="LK94" s="8">
        <f t="shared" si="187"/>
        <v>0.43589743589743596</v>
      </c>
      <c r="LL94" s="8">
        <f t="shared" si="187"/>
        <v>1.0000000000000009E-2</v>
      </c>
      <c r="LM94" s="8">
        <f t="shared" si="187"/>
        <v>6.7934782608696023E-3</v>
      </c>
      <c r="LN94" s="8">
        <f t="shared" si="187"/>
        <v>9.3749999999999958E-2</v>
      </c>
      <c r="LO94" s="8">
        <f t="shared" si="187"/>
        <v>6.5476190476190396E-2</v>
      </c>
      <c r="LP94" s="8">
        <f t="shared" si="187"/>
        <v>3.9414414414414449E-2</v>
      </c>
      <c r="LQ94" s="8">
        <f t="shared" si="187"/>
        <v>0.12500000000000011</v>
      </c>
      <c r="LR94" s="8">
        <f t="shared" si="187"/>
        <v>5.9782608695652238E-2</v>
      </c>
      <c r="LS94" s="8">
        <f t="shared" si="187"/>
        <v>6.5789473684210509E-2</v>
      </c>
      <c r="LT94" s="8">
        <f t="shared" si="187"/>
        <v>2.8472222222222232E-2</v>
      </c>
      <c r="LU94" s="8">
        <f t="shared" si="187"/>
        <v>0.1985815602836879</v>
      </c>
      <c r="LV94" s="8">
        <f t="shared" si="187"/>
        <v>7.5757575757575482E-3</v>
      </c>
      <c r="LW94" s="8">
        <f t="shared" si="187"/>
        <v>8.6580086580086649E-3</v>
      </c>
      <c r="LX94" s="8">
        <f t="shared" si="187"/>
        <v>0.16967213114754098</v>
      </c>
      <c r="LY94" s="8">
        <f t="shared" si="187"/>
        <v>0.24574468085106385</v>
      </c>
      <c r="LZ94" s="8">
        <f t="shared" si="187"/>
        <v>2.9156862745098044E-2</v>
      </c>
      <c r="MA94" s="8">
        <f t="shared" si="187"/>
        <v>1.8010752688172076E-2</v>
      </c>
      <c r="MB94" s="8">
        <f t="shared" si="187"/>
        <v>0.17666666666666675</v>
      </c>
      <c r="MC94" s="8">
        <f t="shared" si="187"/>
        <v>7.2950819672131142E-2</v>
      </c>
      <c r="MD94" s="8">
        <f t="shared" si="187"/>
        <v>4.8260869565217007E-3</v>
      </c>
      <c r="ME94" s="8">
        <f t="shared" si="187"/>
        <v>9.7450980392157077E-3</v>
      </c>
      <c r="MF94" s="8">
        <f t="shared" si="187"/>
        <v>3.0725490196078432E-2</v>
      </c>
      <c r="MG94" s="8">
        <f t="shared" si="187"/>
        <v>0.10156250000000004</v>
      </c>
      <c r="MH94" s="8">
        <f t="shared" si="187"/>
        <v>2.3529411764705841E-3</v>
      </c>
      <c r="MI94" s="8">
        <f t="shared" si="187"/>
        <v>1.0775862068966664E-3</v>
      </c>
      <c r="MJ94" s="8">
        <f t="shared" si="187"/>
        <v>2.614492753623187E-2</v>
      </c>
      <c r="MK94" s="8">
        <f t="shared" si="187"/>
        <v>1.1574074074075062E-4</v>
      </c>
      <c r="ML94" s="8">
        <f t="shared" si="187"/>
        <v>0.11555555555555547</v>
      </c>
      <c r="MM94" s="8">
        <f t="shared" si="187"/>
        <v>-7.7692307692307699E-2</v>
      </c>
      <c r="MN94" s="8">
        <f t="shared" si="187"/>
        <v>0.12533333333333338</v>
      </c>
      <c r="MO94" s="8">
        <f t="shared" si="187"/>
        <v>1.0846846846846843E-2</v>
      </c>
      <c r="MP94" s="8">
        <f t="shared" si="187"/>
        <v>6.5719696969696812E-3</v>
      </c>
      <c r="MQ94" s="8">
        <f t="shared" si="187"/>
        <v>8.8815789473684092E-4</v>
      </c>
      <c r="MR94" s="8">
        <f t="shared" si="187"/>
        <v>4.5294117647058825E-2</v>
      </c>
      <c r="MS94" s="8">
        <f t="shared" si="187"/>
        <v>8.8666666666666741E-2</v>
      </c>
    </row>
    <row r="96" spans="1:357" x14ac:dyDescent="0.35">
      <c r="D96" s="28">
        <f>SUMPRODUCT(EB94:MS94,EB90:MS90,EB87:MS87)/SUMPRODUCT(EB90:MS90,EB87:MS87)</f>
        <v>1.9757669976673296E-2</v>
      </c>
      <c r="E96" s="28">
        <f>SUMPRODUCT(EB94:EI94,EB90:EI90,EB87:EI87)/SUMPRODUCT(EB90:EI90,EB87:EI87)</f>
        <v>0.13167873147190623</v>
      </c>
    </row>
    <row r="98" spans="3:122" ht="18.5" x14ac:dyDescent="0.45">
      <c r="C98" s="93" t="s">
        <v>327</v>
      </c>
      <c r="D98" s="94"/>
    </row>
    <row r="99" spans="3:122" x14ac:dyDescent="0.35">
      <c r="C99" s="94" t="s">
        <v>328</v>
      </c>
      <c r="F99" s="95" t="s">
        <v>614</v>
      </c>
      <c r="H99" s="95" t="s">
        <v>414</v>
      </c>
      <c r="I99" s="95" t="s">
        <v>380</v>
      </c>
      <c r="J99" s="95" t="s">
        <v>380</v>
      </c>
      <c r="K99" s="95" t="s">
        <v>389</v>
      </c>
      <c r="L99" s="95" t="s">
        <v>389</v>
      </c>
      <c r="M99" s="95" t="s">
        <v>338</v>
      </c>
      <c r="N99" s="95" t="s">
        <v>338</v>
      </c>
      <c r="O99" s="95" t="s">
        <v>92</v>
      </c>
      <c r="P99" s="95" t="s">
        <v>92</v>
      </c>
      <c r="Q99" s="95" t="s">
        <v>92</v>
      </c>
      <c r="R99" s="95" t="s">
        <v>92</v>
      </c>
      <c r="S99" s="95" t="s">
        <v>92</v>
      </c>
      <c r="T99" s="95" t="s">
        <v>614</v>
      </c>
      <c r="U99" s="95" t="s">
        <v>614</v>
      </c>
      <c r="V99" s="95" t="s">
        <v>373</v>
      </c>
      <c r="W99" s="95" t="s">
        <v>338</v>
      </c>
      <c r="X99" s="95" t="s">
        <v>373</v>
      </c>
      <c r="Y99" s="95" t="s">
        <v>389</v>
      </c>
      <c r="Z99" s="95" t="s">
        <v>389</v>
      </c>
      <c r="AA99" s="95" t="s">
        <v>338</v>
      </c>
      <c r="AB99" s="95" t="s">
        <v>338</v>
      </c>
      <c r="AC99" s="95" t="s">
        <v>389</v>
      </c>
      <c r="AD99" s="95" t="s">
        <v>389</v>
      </c>
      <c r="AE99" s="95" t="s">
        <v>389</v>
      </c>
      <c r="AF99" s="95" t="s">
        <v>389</v>
      </c>
      <c r="AG99" s="95" t="s">
        <v>338</v>
      </c>
      <c r="AH99" s="95" t="s">
        <v>338</v>
      </c>
      <c r="AI99" s="95" t="s">
        <v>184</v>
      </c>
      <c r="AJ99" s="95" t="s">
        <v>184</v>
      </c>
      <c r="AK99" s="95" t="s">
        <v>184</v>
      </c>
      <c r="AL99" s="95" t="s">
        <v>373</v>
      </c>
      <c r="AM99" s="95" t="s">
        <v>373</v>
      </c>
      <c r="AN99" s="95" t="s">
        <v>373</v>
      </c>
      <c r="AO99" s="95" t="s">
        <v>405</v>
      </c>
      <c r="AP99" s="95" t="s">
        <v>405</v>
      </c>
      <c r="AQ99" s="95" t="s">
        <v>405</v>
      </c>
      <c r="AR99" s="95" t="s">
        <v>366</v>
      </c>
      <c r="AS99" s="95" t="s">
        <v>374</v>
      </c>
      <c r="AT99" s="95" t="s">
        <v>366</v>
      </c>
      <c r="AU99" s="95" t="s">
        <v>92</v>
      </c>
      <c r="AV99" s="95" t="s">
        <v>92</v>
      </c>
      <c r="AW99" s="95" t="s">
        <v>374</v>
      </c>
      <c r="AX99" s="95" t="s">
        <v>374</v>
      </c>
      <c r="AY99" s="95" t="s">
        <v>405</v>
      </c>
      <c r="AZ99" s="95" t="s">
        <v>374</v>
      </c>
      <c r="BA99" s="95" t="s">
        <v>374</v>
      </c>
      <c r="BB99" s="95" t="s">
        <v>374</v>
      </c>
      <c r="BC99" s="95" t="s">
        <v>184</v>
      </c>
      <c r="BD99" s="95" t="s">
        <v>1</v>
      </c>
      <c r="BE99" s="95" t="s">
        <v>72</v>
      </c>
      <c r="BF99" s="95" t="s">
        <v>72</v>
      </c>
      <c r="BG99" s="95" t="s">
        <v>72</v>
      </c>
      <c r="BH99" s="95" t="s">
        <v>72</v>
      </c>
      <c r="BI99" s="95" t="s">
        <v>72</v>
      </c>
      <c r="BJ99" s="95" t="s">
        <v>72</v>
      </c>
      <c r="BK99" s="95" t="s">
        <v>72</v>
      </c>
      <c r="BL99" s="95" t="s">
        <v>72</v>
      </c>
      <c r="BM99" s="95" t="s">
        <v>72</v>
      </c>
      <c r="BN99" s="95" t="s">
        <v>1</v>
      </c>
      <c r="BO99" s="95" t="s">
        <v>72</v>
      </c>
      <c r="BP99" s="95" t="s">
        <v>72</v>
      </c>
      <c r="BQ99" s="95" t="s">
        <v>72</v>
      </c>
      <c r="BR99" s="95" t="s">
        <v>72</v>
      </c>
      <c r="BS99" s="95" t="s">
        <v>72</v>
      </c>
      <c r="BT99" s="95" t="s">
        <v>72</v>
      </c>
      <c r="BU99" s="95" t="s">
        <v>346</v>
      </c>
      <c r="BV99" s="95" t="s">
        <v>33</v>
      </c>
      <c r="BW99" s="95" t="s">
        <v>33</v>
      </c>
      <c r="BX99" s="95" t="s">
        <v>1</v>
      </c>
      <c r="BY99" s="95" t="s">
        <v>1</v>
      </c>
      <c r="BZ99" s="95" t="s">
        <v>1</v>
      </c>
      <c r="CA99" s="95" t="s">
        <v>371</v>
      </c>
      <c r="CB99" s="95" t="s">
        <v>371</v>
      </c>
      <c r="CC99" s="95" t="s">
        <v>33</v>
      </c>
      <c r="CD99" s="95" t="s">
        <v>72</v>
      </c>
      <c r="CE99" s="95" t="s">
        <v>91</v>
      </c>
      <c r="CF99" s="95" t="s">
        <v>86</v>
      </c>
      <c r="CG99" s="95" t="s">
        <v>86</v>
      </c>
      <c r="CH99" s="95" t="s">
        <v>72</v>
      </c>
      <c r="CI99" s="95" t="s">
        <v>72</v>
      </c>
      <c r="CJ99" s="95" t="s">
        <v>184</v>
      </c>
      <c r="CK99" s="95" t="s">
        <v>72</v>
      </c>
      <c r="CL99" s="95" t="s">
        <v>72</v>
      </c>
      <c r="CM99" s="95" t="s">
        <v>72</v>
      </c>
      <c r="CN99" s="95" t="s">
        <v>72</v>
      </c>
      <c r="CO99" s="95" t="s">
        <v>72</v>
      </c>
      <c r="CP99" s="95" t="s">
        <v>72</v>
      </c>
      <c r="CQ99" s="95" t="s">
        <v>72</v>
      </c>
      <c r="CR99" s="95" t="s">
        <v>72</v>
      </c>
      <c r="CS99" s="95" t="s">
        <v>184</v>
      </c>
      <c r="CT99" s="95" t="s">
        <v>72</v>
      </c>
      <c r="CU99" s="95" t="s">
        <v>72</v>
      </c>
      <c r="CV99" s="95" t="s">
        <v>72</v>
      </c>
      <c r="CW99" s="95" t="s">
        <v>72</v>
      </c>
      <c r="CX99" s="95" t="s">
        <v>72</v>
      </c>
      <c r="CY99" s="95" t="s">
        <v>72</v>
      </c>
      <c r="CZ99" s="95" t="s">
        <v>72</v>
      </c>
      <c r="DA99" s="95" t="s">
        <v>72</v>
      </c>
      <c r="DB99" s="95" t="s">
        <v>72</v>
      </c>
      <c r="DC99" s="95" t="s">
        <v>72</v>
      </c>
      <c r="DD99" s="95" t="s">
        <v>72</v>
      </c>
      <c r="DE99" s="95" t="s">
        <v>184</v>
      </c>
      <c r="DF99" s="95" t="s">
        <v>87</v>
      </c>
      <c r="DG99" s="95" t="s">
        <v>1</v>
      </c>
      <c r="DH99" s="95" t="s">
        <v>1</v>
      </c>
      <c r="DI99" s="95" t="s">
        <v>1</v>
      </c>
      <c r="DJ99" s="95" t="s">
        <v>72</v>
      </c>
      <c r="DK99" s="95" t="s">
        <v>93</v>
      </c>
      <c r="DL99" s="95" t="s">
        <v>93</v>
      </c>
      <c r="DM99" s="95" t="s">
        <v>87</v>
      </c>
      <c r="DN99" s="95" t="s">
        <v>93</v>
      </c>
      <c r="DO99" s="95" t="s">
        <v>72</v>
      </c>
      <c r="DP99" s="95" t="s">
        <v>87</v>
      </c>
      <c r="DQ99" s="117" t="s">
        <v>117</v>
      </c>
      <c r="DR99" s="117" t="s">
        <v>1</v>
      </c>
    </row>
    <row r="100" spans="3:122" x14ac:dyDescent="0.35">
      <c r="C100" s="94" t="s">
        <v>329</v>
      </c>
      <c r="F100" s="96">
        <v>0.84</v>
      </c>
      <c r="H100" s="96">
        <v>0.84</v>
      </c>
      <c r="I100" s="96">
        <v>0.56999999999999995</v>
      </c>
      <c r="J100" s="96">
        <v>1.18</v>
      </c>
      <c r="K100" s="96">
        <v>4.9000000000000004</v>
      </c>
      <c r="L100" s="96">
        <v>5.7</v>
      </c>
      <c r="M100" s="96">
        <v>2.15</v>
      </c>
      <c r="N100" s="96">
        <v>2.15</v>
      </c>
      <c r="O100" s="96">
        <v>3.75</v>
      </c>
      <c r="P100" s="96">
        <f>(3.75+4.2+2.75)/3</f>
        <v>3.5666666666666664</v>
      </c>
      <c r="Q100" s="96">
        <f>(4.45+3.95+3.4+2.94+7)/5</f>
        <v>4.3480000000000008</v>
      </c>
      <c r="R100" s="96">
        <f>(4.3+3.85+3.3+2.8)/4</f>
        <v>3.5625</v>
      </c>
      <c r="S100" s="96">
        <f>(4.45+3.95+3.4+2.94+7)/5</f>
        <v>4.3480000000000008</v>
      </c>
      <c r="T100" s="96">
        <v>2.75</v>
      </c>
      <c r="U100" s="96">
        <v>3.18</v>
      </c>
      <c r="V100" s="96">
        <v>2.5499999999999998</v>
      </c>
      <c r="W100" s="96">
        <v>1.27</v>
      </c>
      <c r="X100" s="96">
        <v>2.5499999999999998</v>
      </c>
      <c r="Y100" s="96">
        <v>1.1000000000000001</v>
      </c>
      <c r="Z100" s="96">
        <v>4.95</v>
      </c>
      <c r="AA100" s="96">
        <v>0.76</v>
      </c>
      <c r="AB100" s="96">
        <v>0.81</v>
      </c>
      <c r="AC100" s="96">
        <v>1.1000000000000001</v>
      </c>
      <c r="AD100" s="96">
        <v>1.9</v>
      </c>
      <c r="AE100" s="96">
        <v>6</v>
      </c>
      <c r="AF100" s="96">
        <v>6</v>
      </c>
      <c r="AG100" s="96">
        <v>1.25</v>
      </c>
      <c r="AH100" s="96">
        <v>1.83</v>
      </c>
      <c r="AI100" s="96">
        <v>0.5</v>
      </c>
      <c r="AJ100" s="96">
        <v>0.5</v>
      </c>
      <c r="AK100" s="96">
        <v>0.5</v>
      </c>
      <c r="AL100" s="96">
        <v>2.5</v>
      </c>
      <c r="AM100" s="96">
        <v>3</v>
      </c>
      <c r="AN100" s="96">
        <v>3</v>
      </c>
      <c r="AO100" s="96">
        <v>1.4</v>
      </c>
      <c r="AP100" s="96">
        <v>9.65</v>
      </c>
      <c r="AQ100" s="96">
        <v>9.6199999999999992</v>
      </c>
      <c r="AR100" s="96">
        <v>0.9</v>
      </c>
      <c r="AS100" s="96">
        <v>0.82</v>
      </c>
      <c r="AT100" s="96">
        <v>0.86</v>
      </c>
      <c r="AU100" s="96">
        <v>0.48</v>
      </c>
      <c r="AV100" s="96">
        <v>0.4</v>
      </c>
      <c r="AW100" s="96">
        <v>3.4</v>
      </c>
      <c r="AX100" s="96">
        <v>3.25</v>
      </c>
      <c r="AY100" s="96">
        <v>1.1599999999999999</v>
      </c>
      <c r="AZ100" s="96">
        <v>0.46</v>
      </c>
      <c r="BA100" s="96">
        <v>2.82</v>
      </c>
      <c r="BB100" s="96">
        <v>3.4</v>
      </c>
      <c r="BC100" s="96">
        <v>0.01</v>
      </c>
      <c r="BD100" s="96">
        <v>13.1</v>
      </c>
      <c r="BE100" s="96">
        <v>0.45</v>
      </c>
      <c r="BF100" s="96">
        <v>0.45</v>
      </c>
      <c r="BG100" s="96">
        <v>0.45</v>
      </c>
      <c r="BH100" s="96">
        <v>0.37</v>
      </c>
      <c r="BI100" s="96">
        <v>1.1399999999999999</v>
      </c>
      <c r="BJ100" s="96">
        <v>1.1399999999999999</v>
      </c>
      <c r="BK100" s="96">
        <v>1.1100000000000001</v>
      </c>
      <c r="BL100" s="96">
        <v>0.36</v>
      </c>
      <c r="BM100" s="96">
        <v>0.37</v>
      </c>
      <c r="BN100" s="96">
        <v>3.45</v>
      </c>
      <c r="BO100" s="96">
        <v>0.17</v>
      </c>
      <c r="BP100" s="96">
        <v>0.17</v>
      </c>
      <c r="BQ100" s="96">
        <v>0.17</v>
      </c>
      <c r="BR100" s="96">
        <v>0.28999999999999998</v>
      </c>
      <c r="BS100" s="96">
        <v>0.99</v>
      </c>
      <c r="BT100" s="96">
        <v>0.52</v>
      </c>
      <c r="BU100" s="96">
        <v>0.15</v>
      </c>
      <c r="BV100" s="96">
        <v>0.73</v>
      </c>
      <c r="BW100" s="96">
        <v>0.56999999999999995</v>
      </c>
      <c r="BX100" s="96">
        <v>12.75</v>
      </c>
      <c r="BY100" s="96">
        <v>1.29</v>
      </c>
      <c r="BZ100" s="96">
        <v>12.85</v>
      </c>
      <c r="CA100" s="96">
        <v>9</v>
      </c>
      <c r="CB100" s="96">
        <v>9</v>
      </c>
      <c r="CC100" s="96">
        <v>1.26</v>
      </c>
      <c r="CD100" s="96">
        <v>0.24</v>
      </c>
      <c r="CE100" s="96">
        <v>9.9499999999999993</v>
      </c>
      <c r="CF100" s="96">
        <v>0.7</v>
      </c>
      <c r="CG100" s="96">
        <v>0.7</v>
      </c>
      <c r="CH100" s="96">
        <v>0.8</v>
      </c>
      <c r="CI100" s="96">
        <v>0.21</v>
      </c>
      <c r="CJ100" s="96">
        <v>0.17</v>
      </c>
      <c r="CK100" s="96">
        <v>0.48</v>
      </c>
      <c r="CL100" s="96">
        <v>1.26</v>
      </c>
      <c r="CM100" s="96">
        <v>1.29</v>
      </c>
      <c r="CN100" s="96">
        <v>1.04</v>
      </c>
      <c r="CO100" s="96">
        <v>1.04</v>
      </c>
      <c r="CP100" s="96">
        <v>1.29</v>
      </c>
      <c r="CQ100" s="96">
        <v>1.37</v>
      </c>
      <c r="CR100" s="96">
        <v>1.62</v>
      </c>
      <c r="CS100" s="96">
        <v>0.96</v>
      </c>
      <c r="CT100" s="96">
        <v>0.4</v>
      </c>
      <c r="CU100" s="96">
        <v>1.75</v>
      </c>
      <c r="CV100" s="96">
        <v>1.75</v>
      </c>
      <c r="CW100" s="96">
        <v>1.75</v>
      </c>
      <c r="CX100" s="96">
        <v>1.75</v>
      </c>
      <c r="CY100" s="96">
        <v>1.75</v>
      </c>
      <c r="CZ100" s="96">
        <v>1.75</v>
      </c>
      <c r="DA100" s="96">
        <v>1.75</v>
      </c>
      <c r="DB100" s="96">
        <v>1.75</v>
      </c>
      <c r="DC100" s="96">
        <v>1.75</v>
      </c>
      <c r="DD100" s="96">
        <v>1.75</v>
      </c>
      <c r="DE100" s="96">
        <v>1.33</v>
      </c>
      <c r="DF100" s="96">
        <v>10.1</v>
      </c>
      <c r="DG100" s="96">
        <v>20.25</v>
      </c>
      <c r="DH100" s="96">
        <v>0.96</v>
      </c>
      <c r="DI100" s="96">
        <v>0.62</v>
      </c>
      <c r="DJ100" s="96">
        <v>2.38</v>
      </c>
      <c r="DK100" s="96">
        <v>0.16</v>
      </c>
      <c r="DL100" s="96">
        <v>0.17</v>
      </c>
      <c r="DM100" s="96">
        <v>64</v>
      </c>
      <c r="DN100" s="96">
        <v>2.4500000000000002</v>
      </c>
      <c r="DO100" s="96">
        <v>3.3</v>
      </c>
      <c r="DP100" s="96">
        <v>28.4</v>
      </c>
      <c r="DQ100" s="3">
        <v>1.1299999999999999</v>
      </c>
      <c r="DR100" s="3">
        <v>1.33</v>
      </c>
    </row>
    <row r="101" spans="3:122" x14ac:dyDescent="0.35">
      <c r="C101" s="94" t="s">
        <v>246</v>
      </c>
      <c r="F101" s="95">
        <v>4</v>
      </c>
      <c r="H101" s="95">
        <v>4</v>
      </c>
      <c r="I101" s="95">
        <v>1</v>
      </c>
      <c r="J101" s="95">
        <v>1</v>
      </c>
      <c r="K101" s="95">
        <v>1</v>
      </c>
      <c r="L101" s="95">
        <v>1</v>
      </c>
      <c r="M101" s="95">
        <v>2</v>
      </c>
      <c r="N101" s="95">
        <v>2</v>
      </c>
      <c r="O101" s="95">
        <v>15</v>
      </c>
      <c r="P101" s="95">
        <v>15</v>
      </c>
      <c r="Q101" s="95">
        <v>25</v>
      </c>
      <c r="R101" s="95">
        <v>20</v>
      </c>
      <c r="S101" s="95">
        <v>25</v>
      </c>
      <c r="T101" s="95">
        <v>1</v>
      </c>
      <c r="U101" s="95">
        <v>2</v>
      </c>
      <c r="V101" s="95">
        <v>2</v>
      </c>
      <c r="W101" s="95">
        <v>2</v>
      </c>
      <c r="X101" s="95">
        <v>2</v>
      </c>
      <c r="Y101" s="95">
        <v>1</v>
      </c>
      <c r="Z101" s="95">
        <v>1</v>
      </c>
      <c r="AA101" s="95">
        <v>2</v>
      </c>
      <c r="AB101" s="95">
        <v>2</v>
      </c>
      <c r="AC101" s="95">
        <v>1</v>
      </c>
      <c r="AD101" s="95">
        <v>1</v>
      </c>
      <c r="AE101" s="95">
        <v>1</v>
      </c>
      <c r="AF101" s="95">
        <v>1</v>
      </c>
      <c r="AG101" s="95">
        <v>2</v>
      </c>
      <c r="AH101" s="95">
        <v>2</v>
      </c>
      <c r="AI101" s="95">
        <v>10</v>
      </c>
      <c r="AJ101" s="95">
        <v>10</v>
      </c>
      <c r="AK101" s="95">
        <v>10</v>
      </c>
      <c r="AL101" s="95">
        <v>2</v>
      </c>
      <c r="AM101" s="95">
        <v>2</v>
      </c>
      <c r="AN101" s="95">
        <v>2</v>
      </c>
      <c r="AO101" s="95">
        <v>1</v>
      </c>
      <c r="AP101" s="95">
        <v>1</v>
      </c>
      <c r="AQ101" s="95">
        <v>1</v>
      </c>
      <c r="AR101" s="95">
        <v>7</v>
      </c>
      <c r="AS101" s="95">
        <v>6</v>
      </c>
      <c r="AT101" s="95">
        <v>7</v>
      </c>
      <c r="AU101" s="95">
        <v>5</v>
      </c>
      <c r="AV101" s="95">
        <v>5</v>
      </c>
      <c r="AW101" s="95">
        <v>5</v>
      </c>
      <c r="AX101" s="95">
        <v>5</v>
      </c>
      <c r="AY101" s="95">
        <v>1</v>
      </c>
      <c r="AZ101" s="95">
        <v>6</v>
      </c>
      <c r="BA101" s="95">
        <v>5</v>
      </c>
      <c r="BB101" s="95">
        <v>2</v>
      </c>
      <c r="BC101" s="95">
        <v>10</v>
      </c>
      <c r="BD101" s="95">
        <v>3</v>
      </c>
      <c r="BE101" s="95">
        <v>40</v>
      </c>
      <c r="BF101" s="95">
        <v>40</v>
      </c>
      <c r="BG101" s="95">
        <v>40</v>
      </c>
      <c r="BH101" s="95">
        <v>40</v>
      </c>
      <c r="BI101" s="95">
        <v>85</v>
      </c>
      <c r="BJ101" s="95">
        <v>45</v>
      </c>
      <c r="BK101" s="95">
        <v>85</v>
      </c>
      <c r="BL101" s="95">
        <v>85</v>
      </c>
      <c r="BM101" s="95">
        <v>85</v>
      </c>
      <c r="BN101" s="95">
        <v>15</v>
      </c>
      <c r="BO101" s="95">
        <v>85</v>
      </c>
      <c r="BP101" s="95">
        <v>85</v>
      </c>
      <c r="BQ101" s="95">
        <v>85</v>
      </c>
      <c r="BR101" s="95">
        <v>85</v>
      </c>
      <c r="BS101" s="95">
        <v>3</v>
      </c>
      <c r="BT101" s="95">
        <v>45</v>
      </c>
      <c r="BU101" s="95">
        <v>5</v>
      </c>
      <c r="BV101" s="95">
        <v>14</v>
      </c>
      <c r="BW101" s="95">
        <v>14</v>
      </c>
      <c r="BX101" s="95">
        <v>6</v>
      </c>
      <c r="BY101" s="95">
        <v>3</v>
      </c>
      <c r="BZ101" s="95">
        <v>6</v>
      </c>
      <c r="CA101" s="95">
        <v>8</v>
      </c>
      <c r="CB101" s="95">
        <v>2</v>
      </c>
      <c r="CC101" s="95">
        <v>14</v>
      </c>
      <c r="CD101" s="95">
        <v>45</v>
      </c>
      <c r="CE101" s="95">
        <v>10</v>
      </c>
      <c r="CF101" s="95">
        <v>6</v>
      </c>
      <c r="CG101" s="95">
        <v>6</v>
      </c>
      <c r="CH101" s="95">
        <v>45</v>
      </c>
      <c r="CI101" s="95">
        <v>17</v>
      </c>
      <c r="CJ101" s="95">
        <v>2</v>
      </c>
      <c r="CK101" s="95">
        <v>17</v>
      </c>
      <c r="CL101" s="95">
        <v>16</v>
      </c>
      <c r="CM101" s="95">
        <v>33</v>
      </c>
      <c r="CN101" s="95">
        <v>30</v>
      </c>
      <c r="CO101" s="95">
        <v>30</v>
      </c>
      <c r="CP101" s="95">
        <v>33</v>
      </c>
      <c r="CQ101" s="95">
        <v>7</v>
      </c>
      <c r="CR101" s="95">
        <v>88</v>
      </c>
      <c r="CS101" s="95">
        <v>2</v>
      </c>
      <c r="CT101" s="95">
        <v>17</v>
      </c>
      <c r="CU101" s="95">
        <v>88</v>
      </c>
      <c r="CV101" s="95">
        <v>88</v>
      </c>
      <c r="CW101" s="95">
        <v>88</v>
      </c>
      <c r="CX101" s="95">
        <v>88</v>
      </c>
      <c r="CY101" s="95">
        <v>88</v>
      </c>
      <c r="CZ101" s="95">
        <v>88</v>
      </c>
      <c r="DA101" s="95">
        <v>88</v>
      </c>
      <c r="DB101" s="95">
        <v>88</v>
      </c>
      <c r="DC101" s="95">
        <v>88</v>
      </c>
      <c r="DD101" s="95">
        <v>88</v>
      </c>
      <c r="DE101" s="95">
        <v>2</v>
      </c>
      <c r="DF101" s="95">
        <v>1</v>
      </c>
      <c r="DG101" s="95">
        <v>6</v>
      </c>
      <c r="DH101" s="95">
        <v>6</v>
      </c>
      <c r="DI101" s="95">
        <v>6</v>
      </c>
      <c r="DJ101" s="95">
        <v>88</v>
      </c>
      <c r="DK101" s="95">
        <v>2</v>
      </c>
      <c r="DL101" s="95">
        <v>4</v>
      </c>
      <c r="DM101" s="95">
        <v>1</v>
      </c>
      <c r="DN101" s="95">
        <v>5</v>
      </c>
      <c r="DO101" s="95">
        <v>7</v>
      </c>
      <c r="DP101" s="95">
        <v>1</v>
      </c>
      <c r="DQ101" s="117">
        <v>4</v>
      </c>
      <c r="DR101" s="117">
        <v>3</v>
      </c>
    </row>
    <row r="102" spans="3:122" x14ac:dyDescent="0.35">
      <c r="C102" s="94" t="s">
        <v>190</v>
      </c>
      <c r="F102" s="96">
        <v>14</v>
      </c>
      <c r="H102" s="96">
        <v>14</v>
      </c>
      <c r="I102" s="96">
        <v>107</v>
      </c>
      <c r="J102" s="96">
        <v>108</v>
      </c>
      <c r="K102" s="96">
        <v>118</v>
      </c>
      <c r="L102" s="96">
        <v>119</v>
      </c>
      <c r="M102" s="96">
        <v>48</v>
      </c>
      <c r="N102" s="96">
        <v>48</v>
      </c>
      <c r="O102" s="96">
        <v>29</v>
      </c>
      <c r="P102" s="96">
        <f>(29+28.5+27.5)/3</f>
        <v>28.333333333333332</v>
      </c>
      <c r="Q102" s="96">
        <f>(29+28.5+28+27.5+30)/5</f>
        <v>28.6</v>
      </c>
      <c r="R102" s="96">
        <f>(29+28.5+28+27.5)/4</f>
        <v>28.25</v>
      </c>
      <c r="S102" s="96">
        <f>(29+28.5+28+27.5+30)/5</f>
        <v>28.6</v>
      </c>
      <c r="T102" s="96">
        <v>40</v>
      </c>
      <c r="U102" s="96">
        <v>40</v>
      </c>
      <c r="V102" s="96">
        <v>32.5</v>
      </c>
      <c r="W102" s="96">
        <v>48.5</v>
      </c>
      <c r="X102" s="96">
        <v>32.5</v>
      </c>
      <c r="Y102" s="96">
        <v>109</v>
      </c>
      <c r="Z102" s="96">
        <v>113</v>
      </c>
      <c r="AA102" s="96">
        <v>48</v>
      </c>
      <c r="AB102" s="96">
        <v>48</v>
      </c>
      <c r="AC102" s="96">
        <v>109</v>
      </c>
      <c r="AD102" s="96">
        <v>109</v>
      </c>
      <c r="AE102" s="96">
        <v>114</v>
      </c>
      <c r="AF102" s="96">
        <v>114</v>
      </c>
      <c r="AG102" s="96">
        <v>48.5</v>
      </c>
      <c r="AH102" s="96">
        <v>49</v>
      </c>
      <c r="AI102" s="96">
        <v>30.5</v>
      </c>
      <c r="AJ102" s="96">
        <v>30.5</v>
      </c>
      <c r="AK102" s="96">
        <v>30.5</v>
      </c>
      <c r="AL102" s="96">
        <v>32.5</v>
      </c>
      <c r="AM102" s="96">
        <v>32.5</v>
      </c>
      <c r="AN102" s="96">
        <v>32.5</v>
      </c>
      <c r="AO102" s="96">
        <v>55</v>
      </c>
      <c r="AP102" s="96">
        <v>62.5</v>
      </c>
      <c r="AQ102" s="96">
        <v>62.5</v>
      </c>
      <c r="AR102" s="96">
        <v>25</v>
      </c>
      <c r="AS102" s="96">
        <v>15</v>
      </c>
      <c r="AT102" s="96">
        <v>25</v>
      </c>
      <c r="AU102" s="96">
        <v>29.5</v>
      </c>
      <c r="AV102" s="96">
        <v>29.5</v>
      </c>
      <c r="AW102" s="96">
        <v>18</v>
      </c>
      <c r="AX102" s="96">
        <v>18</v>
      </c>
      <c r="AY102" s="96">
        <v>56</v>
      </c>
      <c r="AZ102" s="96">
        <v>15.5</v>
      </c>
      <c r="BA102" s="96">
        <v>18.5</v>
      </c>
      <c r="BB102" s="96">
        <v>18.5</v>
      </c>
      <c r="BC102" s="96">
        <v>31</v>
      </c>
      <c r="BD102" s="96">
        <v>116</v>
      </c>
      <c r="BE102" s="96">
        <v>10.5</v>
      </c>
      <c r="BF102" s="96">
        <v>10.5</v>
      </c>
      <c r="BG102" s="96">
        <v>10.5</v>
      </c>
      <c r="BH102" s="96">
        <v>10.5</v>
      </c>
      <c r="BI102" s="96">
        <v>11</v>
      </c>
      <c r="BJ102" s="96">
        <v>11</v>
      </c>
      <c r="BK102" s="96">
        <v>11</v>
      </c>
      <c r="BL102" s="96">
        <v>11</v>
      </c>
      <c r="BM102" s="96">
        <v>11</v>
      </c>
      <c r="BN102" s="96">
        <v>112</v>
      </c>
      <c r="BO102" s="96">
        <v>11</v>
      </c>
      <c r="BP102" s="96">
        <v>11</v>
      </c>
      <c r="BQ102" s="96">
        <v>11</v>
      </c>
      <c r="BR102" s="96">
        <v>11</v>
      </c>
      <c r="BS102" s="96">
        <v>10.5</v>
      </c>
      <c r="BT102" s="96">
        <v>11.5</v>
      </c>
      <c r="BU102" s="96">
        <v>50</v>
      </c>
      <c r="BV102" s="96">
        <v>40</v>
      </c>
      <c r="BW102" s="96">
        <v>40</v>
      </c>
      <c r="BX102" s="96">
        <v>125</v>
      </c>
      <c r="BY102" s="96">
        <v>110</v>
      </c>
      <c r="BZ102" s="96">
        <v>125</v>
      </c>
      <c r="CA102" s="96">
        <v>19</v>
      </c>
      <c r="CB102" s="96">
        <v>19</v>
      </c>
      <c r="CC102" s="96">
        <v>40</v>
      </c>
      <c r="CD102" s="96">
        <v>11</v>
      </c>
      <c r="CE102" s="96">
        <v>19</v>
      </c>
      <c r="CF102" s="96">
        <v>8</v>
      </c>
      <c r="CG102" s="96">
        <v>8</v>
      </c>
      <c r="CH102" s="96">
        <v>11.5</v>
      </c>
      <c r="CI102" s="96">
        <v>11.5</v>
      </c>
      <c r="CJ102" s="96">
        <v>32</v>
      </c>
      <c r="CK102" s="96">
        <v>11.5</v>
      </c>
      <c r="CL102" s="96">
        <v>11.5</v>
      </c>
      <c r="CM102" s="96">
        <v>11.5</v>
      </c>
      <c r="CN102" s="96">
        <v>11</v>
      </c>
      <c r="CO102" s="96">
        <v>11</v>
      </c>
      <c r="CP102" s="96">
        <v>11.5</v>
      </c>
      <c r="CQ102" s="96">
        <v>11</v>
      </c>
      <c r="CR102" s="96">
        <v>12</v>
      </c>
      <c r="CS102" s="96">
        <v>30.5</v>
      </c>
      <c r="CT102" s="96">
        <v>11</v>
      </c>
      <c r="CU102" s="96">
        <v>12</v>
      </c>
      <c r="CV102" s="96">
        <v>12</v>
      </c>
      <c r="CW102" s="96">
        <v>12</v>
      </c>
      <c r="CX102" s="96">
        <v>12</v>
      </c>
      <c r="CY102" s="96">
        <v>12</v>
      </c>
      <c r="CZ102" s="96">
        <v>12</v>
      </c>
      <c r="DA102" s="96">
        <v>12</v>
      </c>
      <c r="DB102" s="96">
        <v>12</v>
      </c>
      <c r="DC102" s="96">
        <v>12</v>
      </c>
      <c r="DD102" s="96">
        <v>12</v>
      </c>
      <c r="DE102" s="96">
        <v>31.5</v>
      </c>
      <c r="DF102" s="96">
        <v>595</v>
      </c>
      <c r="DG102" s="96">
        <v>125</v>
      </c>
      <c r="DH102" s="96">
        <v>108</v>
      </c>
      <c r="DI102" s="96">
        <v>103</v>
      </c>
      <c r="DJ102" s="96">
        <v>12</v>
      </c>
      <c r="DK102" s="96">
        <v>58</v>
      </c>
      <c r="DL102" s="96">
        <v>58</v>
      </c>
      <c r="DM102" s="96">
        <v>520</v>
      </c>
      <c r="DN102" s="96">
        <v>60</v>
      </c>
      <c r="DO102" s="96">
        <v>11.5</v>
      </c>
      <c r="DP102" s="96">
        <v>580</v>
      </c>
      <c r="DQ102" s="3">
        <v>60</v>
      </c>
      <c r="DR102" s="3">
        <v>95</v>
      </c>
    </row>
    <row r="103" spans="3:122" x14ac:dyDescent="0.35">
      <c r="C103" s="94" t="s">
        <v>330</v>
      </c>
      <c r="F103" s="95" t="s">
        <v>374</v>
      </c>
      <c r="H103" s="95" t="s">
        <v>374</v>
      </c>
      <c r="I103" s="95" t="s">
        <v>354</v>
      </c>
      <c r="J103" s="95" t="s">
        <v>354</v>
      </c>
      <c r="K103" s="95" t="s">
        <v>92</v>
      </c>
      <c r="L103" s="95" t="s">
        <v>92</v>
      </c>
      <c r="M103" s="95" t="s">
        <v>414</v>
      </c>
      <c r="N103" s="95" t="s">
        <v>346</v>
      </c>
      <c r="O103" s="95" t="s">
        <v>87</v>
      </c>
      <c r="P103" s="95" t="s">
        <v>346</v>
      </c>
      <c r="Q103" s="95" t="s">
        <v>346</v>
      </c>
      <c r="R103" s="95" t="s">
        <v>346</v>
      </c>
      <c r="S103" s="95" t="s">
        <v>87</v>
      </c>
      <c r="T103" s="95" t="s">
        <v>414</v>
      </c>
      <c r="U103" s="95" t="s">
        <v>389</v>
      </c>
      <c r="V103" s="95" t="s">
        <v>373</v>
      </c>
      <c r="W103" s="95" t="s">
        <v>384</v>
      </c>
      <c r="X103" s="95" t="s">
        <v>346</v>
      </c>
      <c r="Y103" s="95" t="s">
        <v>384</v>
      </c>
      <c r="Z103" s="95" t="s">
        <v>389</v>
      </c>
      <c r="AA103" s="95" t="s">
        <v>338</v>
      </c>
      <c r="AB103" s="95" t="s">
        <v>346</v>
      </c>
      <c r="AC103" s="95" t="s">
        <v>384</v>
      </c>
      <c r="AD103" s="95" t="s">
        <v>346</v>
      </c>
      <c r="AE103" s="95" t="s">
        <v>384</v>
      </c>
      <c r="AF103" s="95" t="s">
        <v>346</v>
      </c>
      <c r="AG103" s="95" t="s">
        <v>346</v>
      </c>
      <c r="AH103" s="95" t="s">
        <v>346</v>
      </c>
      <c r="AI103" s="95" t="s">
        <v>346</v>
      </c>
      <c r="AJ103" s="95" t="s">
        <v>384</v>
      </c>
      <c r="AK103" s="95" t="s">
        <v>384</v>
      </c>
      <c r="AL103" s="95" t="s">
        <v>346</v>
      </c>
      <c r="AM103" s="95" t="s">
        <v>346</v>
      </c>
      <c r="AN103" s="95" t="s">
        <v>346</v>
      </c>
      <c r="AO103" s="95" t="s">
        <v>405</v>
      </c>
      <c r="AP103" s="95" t="s">
        <v>346</v>
      </c>
      <c r="AQ103" s="95" t="s">
        <v>346</v>
      </c>
      <c r="AR103" s="95" t="s">
        <v>346</v>
      </c>
      <c r="AS103" s="95" t="s">
        <v>346</v>
      </c>
      <c r="AT103" s="95" t="s">
        <v>384</v>
      </c>
      <c r="AU103" s="95" t="s">
        <v>384</v>
      </c>
      <c r="AV103" s="95" t="s">
        <v>92</v>
      </c>
      <c r="AW103" s="95" t="s">
        <v>92</v>
      </c>
      <c r="AX103" s="95" t="s">
        <v>346</v>
      </c>
      <c r="AY103" s="95" t="s">
        <v>405</v>
      </c>
      <c r="AZ103" s="95" t="s">
        <v>374</v>
      </c>
      <c r="BA103" s="95" t="s">
        <v>346</v>
      </c>
      <c r="BB103" s="95" t="s">
        <v>373</v>
      </c>
      <c r="BC103" s="95" t="s">
        <v>184</v>
      </c>
      <c r="BD103" s="95" t="s">
        <v>1</v>
      </c>
      <c r="BE103" s="95" t="s">
        <v>368</v>
      </c>
      <c r="BF103" s="95" t="s">
        <v>87</v>
      </c>
      <c r="BG103" s="95" t="s">
        <v>368</v>
      </c>
      <c r="BH103" s="95" t="s">
        <v>346</v>
      </c>
      <c r="BI103" s="95" t="s">
        <v>72</v>
      </c>
      <c r="BJ103" s="95" t="s">
        <v>346</v>
      </c>
      <c r="BK103" s="95" t="s">
        <v>87</v>
      </c>
      <c r="BL103" s="95" t="s">
        <v>346</v>
      </c>
      <c r="BM103" s="95" t="s">
        <v>87</v>
      </c>
      <c r="BN103" s="95" t="s">
        <v>1</v>
      </c>
      <c r="BO103" s="95" t="s">
        <v>368</v>
      </c>
      <c r="BP103" s="95" t="s">
        <v>368</v>
      </c>
      <c r="BQ103" s="95" t="s">
        <v>346</v>
      </c>
      <c r="BR103" s="95" t="s">
        <v>87</v>
      </c>
      <c r="BS103" s="95" t="s">
        <v>72</v>
      </c>
      <c r="BT103" s="95" t="s">
        <v>87</v>
      </c>
      <c r="BU103" s="95" t="s">
        <v>184</v>
      </c>
      <c r="BV103" s="95" t="s">
        <v>33</v>
      </c>
      <c r="BW103" s="95" t="s">
        <v>33</v>
      </c>
      <c r="BX103" s="95" t="s">
        <v>346</v>
      </c>
      <c r="BY103" s="95" t="s">
        <v>346</v>
      </c>
      <c r="BZ103" s="95" t="s">
        <v>87</v>
      </c>
      <c r="CA103" s="95" t="s">
        <v>91</v>
      </c>
      <c r="CB103" s="95" t="s">
        <v>91</v>
      </c>
      <c r="CC103" s="95" t="s">
        <v>33</v>
      </c>
      <c r="CD103" s="95" t="s">
        <v>72</v>
      </c>
      <c r="CE103" s="95" t="s">
        <v>369</v>
      </c>
      <c r="CF103" s="95" t="s">
        <v>86</v>
      </c>
      <c r="CG103" s="95" t="s">
        <v>346</v>
      </c>
      <c r="CH103" s="95" t="s">
        <v>72</v>
      </c>
      <c r="CI103" s="95" t="s">
        <v>72</v>
      </c>
      <c r="CJ103" s="95" t="s">
        <v>184</v>
      </c>
      <c r="CK103" s="95" t="s">
        <v>72</v>
      </c>
      <c r="CL103" s="95" t="s">
        <v>91</v>
      </c>
      <c r="CM103" s="95" t="s">
        <v>87</v>
      </c>
      <c r="CN103" s="95" t="s">
        <v>87</v>
      </c>
      <c r="CO103" s="95" t="s">
        <v>93</v>
      </c>
      <c r="CP103" s="95" t="s">
        <v>355</v>
      </c>
      <c r="CQ103" s="95" t="s">
        <v>87</v>
      </c>
      <c r="CR103" s="95" t="s">
        <v>93</v>
      </c>
      <c r="CS103" s="95" t="s">
        <v>184</v>
      </c>
      <c r="CT103" s="95" t="s">
        <v>72</v>
      </c>
      <c r="CU103" s="95" t="s">
        <v>87</v>
      </c>
      <c r="CV103" s="95" t="s">
        <v>1</v>
      </c>
      <c r="CW103" s="95" t="s">
        <v>181</v>
      </c>
      <c r="CX103" s="95" t="s">
        <v>181</v>
      </c>
      <c r="CY103" s="95" t="s">
        <v>87</v>
      </c>
      <c r="CZ103" s="95" t="s">
        <v>343</v>
      </c>
      <c r="DA103" s="95" t="s">
        <v>343</v>
      </c>
      <c r="DB103" s="95" t="s">
        <v>343</v>
      </c>
      <c r="DC103" s="95" t="s">
        <v>33</v>
      </c>
      <c r="DD103" s="95" t="s">
        <v>33</v>
      </c>
      <c r="DE103" s="95" t="s">
        <v>184</v>
      </c>
      <c r="DF103" s="95" t="s">
        <v>87</v>
      </c>
      <c r="DG103" s="95" t="s">
        <v>87</v>
      </c>
      <c r="DH103" s="95" t="s">
        <v>87</v>
      </c>
      <c r="DI103" s="95" t="s">
        <v>1</v>
      </c>
      <c r="DJ103" s="95" t="s">
        <v>343</v>
      </c>
      <c r="DK103" s="95" t="s">
        <v>343</v>
      </c>
      <c r="DL103" s="95" t="s">
        <v>1</v>
      </c>
      <c r="DM103" s="95" t="s">
        <v>87</v>
      </c>
      <c r="DN103" s="95" t="s">
        <v>93</v>
      </c>
      <c r="DO103" s="95" t="s">
        <v>91</v>
      </c>
      <c r="DP103" s="95" t="s">
        <v>87</v>
      </c>
      <c r="DQ103" s="117" t="s">
        <v>33</v>
      </c>
      <c r="DR103" s="117" t="s">
        <v>1</v>
      </c>
    </row>
    <row r="104" spans="3:122" x14ac:dyDescent="0.35">
      <c r="C104" s="94" t="s">
        <v>331</v>
      </c>
      <c r="F104" s="96">
        <v>1.29</v>
      </c>
      <c r="H104" s="96">
        <v>1.29</v>
      </c>
      <c r="I104" s="96">
        <v>1.19</v>
      </c>
      <c r="J104" s="96">
        <v>1.46</v>
      </c>
      <c r="K104" s="96">
        <v>1.07</v>
      </c>
      <c r="L104" s="96">
        <f>(1.06*5+1)/6</f>
        <v>1.05</v>
      </c>
      <c r="M104" s="96">
        <v>0.6</v>
      </c>
      <c r="N104" s="96">
        <v>0.6</v>
      </c>
      <c r="O104" s="96">
        <v>64</v>
      </c>
      <c r="P104" s="96">
        <v>14.85</v>
      </c>
      <c r="Q104" s="96">
        <v>14.55</v>
      </c>
      <c r="R104" s="96">
        <v>14.7</v>
      </c>
      <c r="S104" s="96">
        <v>78.45</v>
      </c>
      <c r="T104" s="96">
        <v>1.35</v>
      </c>
      <c r="U104" s="96">
        <v>6.2</v>
      </c>
      <c r="V104" s="96">
        <v>3</v>
      </c>
      <c r="W104" s="96">
        <v>2.6</v>
      </c>
      <c r="X104" s="96">
        <v>7.1</v>
      </c>
      <c r="Y104" s="96">
        <v>2.25</v>
      </c>
      <c r="Z104" s="96">
        <v>5.2</v>
      </c>
      <c r="AA104" s="96">
        <v>0.86</v>
      </c>
      <c r="AB104" s="96">
        <v>2.2999999999999998</v>
      </c>
      <c r="AC104" s="96">
        <v>2.25</v>
      </c>
      <c r="AD104" s="96">
        <v>2.25</v>
      </c>
      <c r="AE104" s="96">
        <v>6</v>
      </c>
      <c r="AF104" s="96">
        <v>6</v>
      </c>
      <c r="AG104" s="96">
        <v>4.0999999999999996</v>
      </c>
      <c r="AH104" s="96">
        <v>5.05</v>
      </c>
      <c r="AI104" s="96">
        <v>2.9</v>
      </c>
      <c r="AJ104" s="96">
        <v>2.64</v>
      </c>
      <c r="AK104" s="96">
        <v>2.65</v>
      </c>
      <c r="AL104" s="96">
        <v>7.4</v>
      </c>
      <c r="AM104" s="96">
        <v>7.3</v>
      </c>
      <c r="AN104" s="96">
        <v>7.8</v>
      </c>
      <c r="AO104" s="96">
        <v>2.02</v>
      </c>
      <c r="AP104" s="96">
        <v>11.7</v>
      </c>
      <c r="AQ104" s="96">
        <v>11.6</v>
      </c>
      <c r="AR104" s="96">
        <v>3.8</v>
      </c>
      <c r="AS104" s="96">
        <v>5.0999999999999996</v>
      </c>
      <c r="AT104" s="96">
        <v>7</v>
      </c>
      <c r="AU104" s="96">
        <v>1.5</v>
      </c>
      <c r="AV104" s="96">
        <v>0.62</v>
      </c>
      <c r="AW104" s="96">
        <v>5.0999999999999996</v>
      </c>
      <c r="AX104" s="96">
        <v>9.15</v>
      </c>
      <c r="AY104" s="96">
        <v>1.26</v>
      </c>
      <c r="AZ104" s="96">
        <v>0.47</v>
      </c>
      <c r="BA104" s="96">
        <v>8.4</v>
      </c>
      <c r="BB104" s="96">
        <v>3.71</v>
      </c>
      <c r="BC104" s="96">
        <v>0.23</v>
      </c>
      <c r="BD104" s="96">
        <v>13.7</v>
      </c>
      <c r="BE104" s="96">
        <v>18.2</v>
      </c>
      <c r="BF104" s="96">
        <v>19.149999999999999</v>
      </c>
      <c r="BG104" s="96">
        <v>19.3</v>
      </c>
      <c r="BH104" s="96">
        <v>3.1</v>
      </c>
      <c r="BI104" s="96">
        <v>1.17</v>
      </c>
      <c r="BJ104" s="96">
        <v>7.5</v>
      </c>
      <c r="BK104" s="96">
        <v>5</v>
      </c>
      <c r="BL104" s="96">
        <v>2.35</v>
      </c>
      <c r="BM104" s="96">
        <v>32</v>
      </c>
      <c r="BN104" s="96">
        <v>4.0999999999999996</v>
      </c>
      <c r="BO104" s="96">
        <v>14.7</v>
      </c>
      <c r="BP104" s="96">
        <v>14.55</v>
      </c>
      <c r="BQ104" s="96">
        <v>1</v>
      </c>
      <c r="BR104" s="96">
        <v>24.7</v>
      </c>
      <c r="BS104" s="96">
        <v>1.06</v>
      </c>
      <c r="BT104" s="96">
        <v>27.8</v>
      </c>
      <c r="BU104" s="96"/>
      <c r="BV104" s="96">
        <v>1.17</v>
      </c>
      <c r="BW104" s="96">
        <v>1.05</v>
      </c>
      <c r="BX104" s="96">
        <v>5.27</v>
      </c>
      <c r="BY104" s="96">
        <v>2.0499999999999998</v>
      </c>
      <c r="BZ104" s="96">
        <v>73</v>
      </c>
      <c r="CA104" s="96">
        <f>36.5</f>
        <v>36.5</v>
      </c>
      <c r="CB104" s="96">
        <v>8.65</v>
      </c>
      <c r="CC104" s="96">
        <v>1.6</v>
      </c>
      <c r="CD104" s="96">
        <v>0.32</v>
      </c>
      <c r="CE104" s="96">
        <v>10</v>
      </c>
      <c r="CF104" s="96">
        <v>0.8</v>
      </c>
      <c r="CG104" s="96">
        <v>5.8</v>
      </c>
      <c r="CH104" s="96">
        <v>0.86</v>
      </c>
      <c r="CI104" s="96">
        <v>0.32</v>
      </c>
      <c r="CJ104" s="96">
        <v>0.22</v>
      </c>
      <c r="CK104" s="96">
        <v>0.64</v>
      </c>
      <c r="CL104" s="96">
        <v>1.61</v>
      </c>
      <c r="CM104" s="96">
        <v>68.2</v>
      </c>
      <c r="CN104" s="96">
        <v>68.2</v>
      </c>
      <c r="CO104" s="96">
        <v>5.45</v>
      </c>
      <c r="CP104" s="96">
        <v>9.35</v>
      </c>
      <c r="CQ104" s="96">
        <v>64</v>
      </c>
      <c r="CR104" s="96">
        <v>1.47</v>
      </c>
      <c r="CS104" s="96">
        <v>1.47</v>
      </c>
      <c r="CT104" s="96">
        <v>0.55000000000000004</v>
      </c>
      <c r="CU104" s="96">
        <v>75.8</v>
      </c>
      <c r="CV104" s="96">
        <v>15.25</v>
      </c>
      <c r="CW104" s="96">
        <v>4.4000000000000004</v>
      </c>
      <c r="CX104" s="96">
        <v>4.8</v>
      </c>
      <c r="CY104" s="96">
        <v>78.25</v>
      </c>
      <c r="CZ104" s="96">
        <v>26.45</v>
      </c>
      <c r="DA104" s="96">
        <v>32</v>
      </c>
      <c r="DB104" s="96">
        <v>37.4</v>
      </c>
      <c r="DC104" s="96">
        <v>2.36</v>
      </c>
      <c r="DD104" s="96">
        <v>3.65</v>
      </c>
      <c r="DE104" s="96">
        <v>1.71</v>
      </c>
      <c r="DF104" s="96">
        <v>10.6</v>
      </c>
      <c r="DG104" s="96">
        <v>120.5</v>
      </c>
      <c r="DH104" s="96">
        <v>7</v>
      </c>
      <c r="DI104" s="96">
        <v>0.72</v>
      </c>
      <c r="DJ104" s="96">
        <v>52.65</v>
      </c>
      <c r="DK104" s="96">
        <v>1.25</v>
      </c>
      <c r="DL104" s="96">
        <v>0.4</v>
      </c>
      <c r="DM104" s="96">
        <v>70.5</v>
      </c>
      <c r="DN104" s="96">
        <v>2.84</v>
      </c>
      <c r="DO104" s="96">
        <v>0.32</v>
      </c>
      <c r="DP104" s="96">
        <v>31.35</v>
      </c>
      <c r="DQ104" s="3">
        <v>0.88</v>
      </c>
      <c r="DR104" s="3">
        <v>1.6</v>
      </c>
    </row>
    <row r="105" spans="3:122" x14ac:dyDescent="0.35">
      <c r="C105" s="94" t="s">
        <v>246</v>
      </c>
      <c r="F105" s="95">
        <v>3</v>
      </c>
      <c r="H105" s="95">
        <v>3</v>
      </c>
      <c r="I105" s="95">
        <v>1</v>
      </c>
      <c r="J105" s="95">
        <v>1</v>
      </c>
      <c r="K105" s="95">
        <v>5</v>
      </c>
      <c r="L105" s="95">
        <v>6</v>
      </c>
      <c r="M105" s="95">
        <v>5</v>
      </c>
      <c r="N105" s="95">
        <v>5</v>
      </c>
      <c r="O105" s="95">
        <v>1</v>
      </c>
      <c r="P105" s="95">
        <v>4</v>
      </c>
      <c r="Q105" s="95">
        <v>8</v>
      </c>
      <c r="R105" s="95">
        <v>5</v>
      </c>
      <c r="S105" s="95">
        <v>1</v>
      </c>
      <c r="T105" s="95">
        <v>2</v>
      </c>
      <c r="U105" s="95">
        <v>1</v>
      </c>
      <c r="V105" s="95">
        <v>2</v>
      </c>
      <c r="W105" s="95">
        <v>1</v>
      </c>
      <c r="X105" s="95">
        <v>1</v>
      </c>
      <c r="Y105" s="95">
        <v>1</v>
      </c>
      <c r="Z105" s="95">
        <v>1</v>
      </c>
      <c r="AA105" s="95">
        <v>2</v>
      </c>
      <c r="AB105" s="95">
        <v>1</v>
      </c>
      <c r="AC105" s="95">
        <v>1</v>
      </c>
      <c r="AD105" s="95">
        <v>1</v>
      </c>
      <c r="AE105" s="95">
        <v>1</v>
      </c>
      <c r="AF105" s="95">
        <v>1</v>
      </c>
      <c r="AG105" s="95">
        <v>1</v>
      </c>
      <c r="AH105" s="95">
        <v>1</v>
      </c>
      <c r="AI105" s="95">
        <v>2</v>
      </c>
      <c r="AJ105" s="95">
        <v>1</v>
      </c>
      <c r="AK105" s="95">
        <v>3</v>
      </c>
      <c r="AL105" s="95">
        <v>1</v>
      </c>
      <c r="AM105" s="95">
        <v>1</v>
      </c>
      <c r="AN105" s="95">
        <v>1</v>
      </c>
      <c r="AO105" s="95">
        <v>1</v>
      </c>
      <c r="AP105" s="95">
        <v>1</v>
      </c>
      <c r="AQ105" s="95">
        <v>1</v>
      </c>
      <c r="AR105" s="95">
        <v>2</v>
      </c>
      <c r="AS105" s="95">
        <v>1</v>
      </c>
      <c r="AT105" s="95">
        <v>1</v>
      </c>
      <c r="AU105" s="95">
        <v>2</v>
      </c>
      <c r="AV105" s="95">
        <v>5</v>
      </c>
      <c r="AW105" s="95">
        <v>4</v>
      </c>
      <c r="AX105" s="95">
        <v>2</v>
      </c>
      <c r="AY105" s="95">
        <v>1</v>
      </c>
      <c r="AZ105" s="95">
        <v>6</v>
      </c>
      <c r="BA105" s="95">
        <v>2</v>
      </c>
      <c r="BB105" s="95">
        <v>2</v>
      </c>
      <c r="BC105" s="95">
        <v>10</v>
      </c>
      <c r="BD105" s="95">
        <v>3</v>
      </c>
      <c r="BE105" s="95">
        <v>1</v>
      </c>
      <c r="BF105" s="95">
        <v>1</v>
      </c>
      <c r="BG105" s="95">
        <v>1</v>
      </c>
      <c r="BH105" s="95">
        <v>6</v>
      </c>
      <c r="BI105" s="95">
        <v>85</v>
      </c>
      <c r="BJ105" s="95">
        <v>9</v>
      </c>
      <c r="BK105" s="95">
        <v>15</v>
      </c>
      <c r="BL105" s="95">
        <v>15</v>
      </c>
      <c r="BM105" s="95">
        <v>1</v>
      </c>
      <c r="BN105" s="95">
        <v>15</v>
      </c>
      <c r="BO105" s="95">
        <v>1</v>
      </c>
      <c r="BP105" s="95">
        <v>1</v>
      </c>
      <c r="BQ105" s="95">
        <v>15</v>
      </c>
      <c r="BR105" s="95">
        <v>1</v>
      </c>
      <c r="BS105" s="95">
        <v>3</v>
      </c>
      <c r="BT105" s="95">
        <v>1</v>
      </c>
      <c r="BU105" s="95"/>
      <c r="BV105" s="95">
        <v>14</v>
      </c>
      <c r="BW105" s="95">
        <v>14</v>
      </c>
      <c r="BX105" s="95">
        <v>15</v>
      </c>
      <c r="BY105" s="95">
        <v>5</v>
      </c>
      <c r="BZ105" s="95">
        <v>1</v>
      </c>
      <c r="CA105" s="95">
        <v>2</v>
      </c>
      <c r="CB105" s="95">
        <v>2</v>
      </c>
      <c r="CC105" s="95">
        <v>14</v>
      </c>
      <c r="CD105" s="95">
        <v>45</v>
      </c>
      <c r="CE105" s="95">
        <v>8</v>
      </c>
      <c r="CF105" s="95">
        <v>6</v>
      </c>
      <c r="CG105" s="95">
        <v>1</v>
      </c>
      <c r="CH105" s="95">
        <v>45</v>
      </c>
      <c r="CI105" s="95">
        <v>17</v>
      </c>
      <c r="CJ105" s="95">
        <v>2</v>
      </c>
      <c r="CK105" s="95">
        <v>17</v>
      </c>
      <c r="CL105" s="95">
        <v>12</v>
      </c>
      <c r="CM105" s="95">
        <v>1</v>
      </c>
      <c r="CN105" s="95">
        <v>1</v>
      </c>
      <c r="CO105" s="95">
        <v>6</v>
      </c>
      <c r="CP105" s="95">
        <v>6</v>
      </c>
      <c r="CQ105" s="95">
        <v>1</v>
      </c>
      <c r="CR105" s="95">
        <v>2</v>
      </c>
      <c r="CS105" s="95">
        <v>2</v>
      </c>
      <c r="CT105" s="95">
        <v>17</v>
      </c>
      <c r="CU105" s="95">
        <v>2</v>
      </c>
      <c r="CV105" s="95">
        <v>10</v>
      </c>
      <c r="CW105" s="95">
        <v>35</v>
      </c>
      <c r="CX105" s="95">
        <v>33</v>
      </c>
      <c r="CY105" s="95">
        <v>2</v>
      </c>
      <c r="CZ105" s="95">
        <v>4</v>
      </c>
      <c r="DA105" s="95">
        <v>5</v>
      </c>
      <c r="DB105" s="95">
        <v>5</v>
      </c>
      <c r="DC105" s="95">
        <v>30</v>
      </c>
      <c r="DD105" s="95">
        <v>26</v>
      </c>
      <c r="DE105" s="95">
        <v>2</v>
      </c>
      <c r="DF105" s="95">
        <v>1</v>
      </c>
      <c r="DG105" s="95">
        <v>1</v>
      </c>
      <c r="DH105" s="95">
        <v>1</v>
      </c>
      <c r="DI105" s="95">
        <v>6</v>
      </c>
      <c r="DJ105" s="95">
        <v>4</v>
      </c>
      <c r="DK105" s="95">
        <v>1</v>
      </c>
      <c r="DL105" s="95">
        <v>2</v>
      </c>
      <c r="DM105" s="95">
        <v>1</v>
      </c>
      <c r="DN105" s="95">
        <v>5</v>
      </c>
      <c r="DO105" s="95">
        <v>3</v>
      </c>
      <c r="DP105" s="95">
        <v>1</v>
      </c>
      <c r="DQ105" s="117">
        <v>7</v>
      </c>
      <c r="DR105" s="117">
        <v>3</v>
      </c>
    </row>
    <row r="106" spans="3:122" x14ac:dyDescent="0.35">
      <c r="C106" s="94" t="s">
        <v>190</v>
      </c>
      <c r="F106" s="96">
        <v>20.5</v>
      </c>
      <c r="H106" s="96">
        <v>20.5</v>
      </c>
      <c r="I106" s="96">
        <v>104</v>
      </c>
      <c r="J106" s="96">
        <v>106</v>
      </c>
      <c r="K106" s="96">
        <v>23</v>
      </c>
      <c r="L106" s="96">
        <v>23</v>
      </c>
      <c r="M106" s="96">
        <v>18.5</v>
      </c>
      <c r="N106" s="96">
        <v>18.5</v>
      </c>
      <c r="O106" s="96">
        <v>940</v>
      </c>
      <c r="P106" s="96">
        <v>120</v>
      </c>
      <c r="Q106" s="96">
        <v>120</v>
      </c>
      <c r="R106" s="96">
        <v>120</v>
      </c>
      <c r="S106" s="96">
        <v>960</v>
      </c>
      <c r="T106" s="96">
        <v>21</v>
      </c>
      <c r="U106" s="96">
        <v>119</v>
      </c>
      <c r="V106" s="96">
        <v>32.5</v>
      </c>
      <c r="W106" s="96">
        <v>98</v>
      </c>
      <c r="X106" s="96">
        <v>95</v>
      </c>
      <c r="Y106" s="96">
        <v>97</v>
      </c>
      <c r="Z106" s="96">
        <v>113</v>
      </c>
      <c r="AA106" s="96">
        <v>48</v>
      </c>
      <c r="AB106" s="96">
        <v>100</v>
      </c>
      <c r="AC106" s="96">
        <v>97</v>
      </c>
      <c r="AD106" s="96">
        <v>100</v>
      </c>
      <c r="AE106" s="96">
        <v>103</v>
      </c>
      <c r="AF106" s="96">
        <v>105</v>
      </c>
      <c r="AG106" s="96">
        <v>95</v>
      </c>
      <c r="AH106" s="96">
        <v>100</v>
      </c>
      <c r="AI106" s="96">
        <v>104</v>
      </c>
      <c r="AJ106" s="96">
        <v>98</v>
      </c>
      <c r="AK106" s="96">
        <v>95</v>
      </c>
      <c r="AL106" s="96">
        <v>90</v>
      </c>
      <c r="AM106" s="96">
        <v>75</v>
      </c>
      <c r="AN106" s="96">
        <v>90</v>
      </c>
      <c r="AO106" s="96">
        <v>53</v>
      </c>
      <c r="AP106" s="96">
        <v>90</v>
      </c>
      <c r="AQ106" s="96">
        <v>90</v>
      </c>
      <c r="AR106" s="96">
        <v>90</v>
      </c>
      <c r="AS106" s="96">
        <v>97</v>
      </c>
      <c r="AT106" s="96">
        <v>100</v>
      </c>
      <c r="AU106" s="96">
        <v>100</v>
      </c>
      <c r="AV106" s="96">
        <v>29</v>
      </c>
      <c r="AW106" s="96">
        <v>30</v>
      </c>
      <c r="AX106" s="96">
        <v>90</v>
      </c>
      <c r="AY106" s="96">
        <v>55</v>
      </c>
      <c r="AZ106" s="96">
        <v>15</v>
      </c>
      <c r="BA106" s="96">
        <v>80</v>
      </c>
      <c r="BB106" s="96">
        <v>32.5</v>
      </c>
      <c r="BC106" s="96">
        <v>31</v>
      </c>
      <c r="BD106" s="96">
        <v>120</v>
      </c>
      <c r="BE106" s="96">
        <v>705</v>
      </c>
      <c r="BF106" s="96">
        <v>725</v>
      </c>
      <c r="BG106" s="96">
        <v>745</v>
      </c>
      <c r="BH106" s="96">
        <v>55</v>
      </c>
      <c r="BI106" s="96">
        <v>10.5</v>
      </c>
      <c r="BJ106" s="96">
        <v>55</v>
      </c>
      <c r="BK106" s="96">
        <v>55</v>
      </c>
      <c r="BL106" s="96">
        <v>50</v>
      </c>
      <c r="BM106" s="96">
        <v>790</v>
      </c>
      <c r="BN106" s="96">
        <v>115</v>
      </c>
      <c r="BO106" s="96">
        <v>785</v>
      </c>
      <c r="BP106" s="96">
        <v>780</v>
      </c>
      <c r="BQ106" s="96">
        <v>60</v>
      </c>
      <c r="BR106" s="96">
        <v>805</v>
      </c>
      <c r="BS106" s="96">
        <v>12</v>
      </c>
      <c r="BT106" s="96">
        <v>820</v>
      </c>
      <c r="BU106" s="96"/>
      <c r="BV106" s="96">
        <v>35.5</v>
      </c>
      <c r="BW106" s="96">
        <v>35.5</v>
      </c>
      <c r="BX106" s="96">
        <v>53</v>
      </c>
      <c r="BY106" s="96">
        <v>50</v>
      </c>
      <c r="BZ106" s="96">
        <v>800</v>
      </c>
      <c r="CA106" s="96">
        <f>75</f>
        <v>75</v>
      </c>
      <c r="CB106" s="96">
        <v>43</v>
      </c>
      <c r="CC106" s="96">
        <v>40</v>
      </c>
      <c r="CD106" s="96">
        <v>12</v>
      </c>
      <c r="CE106" s="96">
        <v>25</v>
      </c>
      <c r="CF106" s="96">
        <v>8</v>
      </c>
      <c r="CG106" s="96">
        <v>55</v>
      </c>
      <c r="CH106" s="96">
        <v>11</v>
      </c>
      <c r="CI106" s="96">
        <v>12</v>
      </c>
      <c r="CJ106" s="96">
        <v>37</v>
      </c>
      <c r="CK106" s="96">
        <v>12</v>
      </c>
      <c r="CL106" s="96">
        <v>15</v>
      </c>
      <c r="CM106" s="96">
        <v>690</v>
      </c>
      <c r="CN106" s="96">
        <v>690</v>
      </c>
      <c r="CO106" s="96">
        <v>57.5</v>
      </c>
      <c r="CP106" s="96">
        <v>115</v>
      </c>
      <c r="CQ106" s="96">
        <v>640</v>
      </c>
      <c r="CR106" s="96">
        <v>30</v>
      </c>
      <c r="CS106" s="96">
        <v>30</v>
      </c>
      <c r="CT106" s="96">
        <v>12</v>
      </c>
      <c r="CU106" s="96">
        <v>625</v>
      </c>
      <c r="CV106" s="96">
        <v>120</v>
      </c>
      <c r="CW106" s="96">
        <v>33</v>
      </c>
      <c r="CX106" s="96">
        <v>36</v>
      </c>
      <c r="CY106" s="96">
        <v>675</v>
      </c>
      <c r="CZ106" s="96">
        <v>260</v>
      </c>
      <c r="DA106" s="96">
        <v>250</v>
      </c>
      <c r="DB106" s="96">
        <v>240</v>
      </c>
      <c r="DC106" s="96">
        <v>40</v>
      </c>
      <c r="DD106" s="96">
        <v>40</v>
      </c>
      <c r="DE106" s="96">
        <v>31</v>
      </c>
      <c r="DF106" s="96">
        <v>590</v>
      </c>
      <c r="DG106" s="96">
        <v>680</v>
      </c>
      <c r="DH106" s="96">
        <v>595</v>
      </c>
      <c r="DI106" s="96">
        <v>105</v>
      </c>
      <c r="DJ106" s="96">
        <v>275</v>
      </c>
      <c r="DK106" s="96">
        <v>210</v>
      </c>
      <c r="DL106" s="96">
        <v>104</v>
      </c>
      <c r="DM106" s="96">
        <v>560</v>
      </c>
      <c r="DN106" s="96">
        <v>62.5</v>
      </c>
      <c r="DO106" s="96">
        <v>25</v>
      </c>
      <c r="DP106" s="96">
        <v>550</v>
      </c>
      <c r="DQ106" s="3">
        <v>34</v>
      </c>
      <c r="DR106" s="3">
        <v>93</v>
      </c>
    </row>
    <row r="107" spans="3:122" x14ac:dyDescent="0.35">
      <c r="C107" s="94" t="s">
        <v>13</v>
      </c>
      <c r="F107" s="96">
        <v>0</v>
      </c>
      <c r="H107" s="96">
        <v>0</v>
      </c>
      <c r="I107" s="96">
        <v>0</v>
      </c>
      <c r="J107" s="96">
        <v>0</v>
      </c>
      <c r="K107" s="96">
        <v>0</v>
      </c>
      <c r="L107" s="96">
        <v>0</v>
      </c>
      <c r="M107" s="96">
        <v>0</v>
      </c>
      <c r="N107" s="96">
        <v>0</v>
      </c>
      <c r="O107" s="96">
        <v>0</v>
      </c>
      <c r="P107" s="96">
        <v>0</v>
      </c>
      <c r="Q107" s="96">
        <v>0</v>
      </c>
      <c r="R107" s="96">
        <v>0</v>
      </c>
      <c r="S107" s="96">
        <v>0</v>
      </c>
      <c r="T107" s="96">
        <v>0</v>
      </c>
      <c r="U107" s="96">
        <v>0</v>
      </c>
      <c r="V107" s="96">
        <v>0</v>
      </c>
      <c r="W107" s="96">
        <v>0</v>
      </c>
      <c r="X107" s="96">
        <v>0</v>
      </c>
      <c r="Y107" s="96">
        <v>0</v>
      </c>
      <c r="Z107" s="96">
        <v>0</v>
      </c>
      <c r="AA107" s="96">
        <v>0</v>
      </c>
      <c r="AB107" s="96">
        <v>0</v>
      </c>
      <c r="AC107" s="96">
        <v>0</v>
      </c>
      <c r="AD107" s="96">
        <v>0</v>
      </c>
      <c r="AE107" s="96">
        <v>0</v>
      </c>
      <c r="AF107" s="96">
        <v>0</v>
      </c>
      <c r="AG107" s="96">
        <v>0</v>
      </c>
      <c r="AH107" s="96">
        <v>0</v>
      </c>
      <c r="AI107" s="96">
        <v>17</v>
      </c>
      <c r="AJ107" s="96">
        <v>17</v>
      </c>
      <c r="AK107" s="96">
        <v>17</v>
      </c>
      <c r="AL107" s="96">
        <v>0</v>
      </c>
      <c r="AM107" s="96">
        <v>0</v>
      </c>
      <c r="AN107" s="96">
        <v>0</v>
      </c>
      <c r="AO107" s="96">
        <v>0</v>
      </c>
      <c r="AP107" s="96">
        <v>0</v>
      </c>
      <c r="AQ107" s="96">
        <v>0</v>
      </c>
      <c r="AR107" s="96">
        <v>0</v>
      </c>
      <c r="AS107" s="96">
        <v>0</v>
      </c>
      <c r="AT107" s="96">
        <v>0</v>
      </c>
      <c r="AU107" s="96">
        <v>0</v>
      </c>
      <c r="AV107" s="96">
        <v>0</v>
      </c>
      <c r="AW107" s="96">
        <v>0</v>
      </c>
      <c r="AX107" s="96">
        <v>0</v>
      </c>
      <c r="AY107" s="96">
        <v>0</v>
      </c>
      <c r="AZ107" s="96">
        <v>0</v>
      </c>
      <c r="BA107" s="96">
        <v>0</v>
      </c>
      <c r="BB107" s="96">
        <v>0</v>
      </c>
      <c r="BC107" s="96">
        <v>0</v>
      </c>
      <c r="BD107" s="96">
        <v>0</v>
      </c>
      <c r="BE107" s="96">
        <v>5</v>
      </c>
      <c r="BF107" s="96">
        <v>5</v>
      </c>
      <c r="BG107" s="96">
        <v>5</v>
      </c>
      <c r="BH107" s="96">
        <v>5</v>
      </c>
      <c r="BI107" s="96">
        <v>5</v>
      </c>
      <c r="BJ107" s="96">
        <v>5</v>
      </c>
      <c r="BK107" s="96">
        <v>5</v>
      </c>
      <c r="BL107" s="96">
        <v>5</v>
      </c>
      <c r="BM107" s="96">
        <v>5</v>
      </c>
      <c r="BN107" s="96">
        <v>5</v>
      </c>
      <c r="BO107" s="96">
        <v>5</v>
      </c>
      <c r="BP107" s="96">
        <v>5</v>
      </c>
      <c r="BQ107" s="96">
        <v>5</v>
      </c>
      <c r="BR107" s="96">
        <v>5</v>
      </c>
      <c r="BS107" s="96">
        <v>5</v>
      </c>
      <c r="BT107" s="96">
        <v>5</v>
      </c>
      <c r="BU107" s="96">
        <v>5</v>
      </c>
      <c r="BV107" s="96">
        <v>5</v>
      </c>
      <c r="BW107" s="96">
        <v>5</v>
      </c>
      <c r="BX107" s="96">
        <v>5</v>
      </c>
      <c r="BY107" s="96">
        <v>5</v>
      </c>
      <c r="BZ107" s="96">
        <v>5</v>
      </c>
      <c r="CA107" s="96">
        <v>5</v>
      </c>
      <c r="CB107" s="96">
        <v>5</v>
      </c>
      <c r="CC107" s="96">
        <v>5</v>
      </c>
      <c r="CD107" s="96">
        <v>0</v>
      </c>
      <c r="CE107" s="96">
        <v>0</v>
      </c>
      <c r="CF107" s="96">
        <v>0</v>
      </c>
      <c r="CG107" s="96">
        <v>0</v>
      </c>
      <c r="CH107" s="96">
        <v>0</v>
      </c>
      <c r="CI107" s="96">
        <v>0</v>
      </c>
      <c r="CJ107" s="96">
        <v>0</v>
      </c>
      <c r="CK107" s="96">
        <v>0</v>
      </c>
      <c r="CL107" s="96">
        <v>0</v>
      </c>
      <c r="CM107" s="96">
        <v>0</v>
      </c>
      <c r="CN107" s="96">
        <v>0</v>
      </c>
      <c r="CO107" s="96">
        <v>0</v>
      </c>
      <c r="CP107" s="96">
        <v>0</v>
      </c>
      <c r="CQ107" s="96">
        <v>0</v>
      </c>
      <c r="CR107" s="96">
        <v>0</v>
      </c>
      <c r="CS107" s="96">
        <v>0</v>
      </c>
      <c r="CT107" s="96">
        <v>0</v>
      </c>
      <c r="CU107" s="96">
        <v>0</v>
      </c>
      <c r="CV107" s="96">
        <v>0</v>
      </c>
      <c r="CW107" s="96">
        <v>0</v>
      </c>
      <c r="CX107" s="96">
        <v>0</v>
      </c>
      <c r="CY107" s="96">
        <v>0</v>
      </c>
      <c r="CZ107" s="96">
        <v>0</v>
      </c>
      <c r="DA107" s="96">
        <v>0</v>
      </c>
      <c r="DB107" s="96">
        <v>0</v>
      </c>
      <c r="DC107" s="96">
        <v>0</v>
      </c>
      <c r="DD107" s="96">
        <v>0</v>
      </c>
      <c r="DE107" s="96">
        <v>0</v>
      </c>
      <c r="DF107" s="96">
        <v>0</v>
      </c>
      <c r="DG107" s="96">
        <v>0</v>
      </c>
      <c r="DH107" s="96">
        <v>0</v>
      </c>
      <c r="DI107" s="96">
        <v>0</v>
      </c>
      <c r="DJ107" s="96">
        <v>0</v>
      </c>
      <c r="DK107" s="96">
        <v>0</v>
      </c>
      <c r="DL107" s="96">
        <v>0</v>
      </c>
      <c r="DM107" s="96">
        <v>0</v>
      </c>
      <c r="DN107" s="96">
        <v>0</v>
      </c>
      <c r="DO107" s="96">
        <v>0</v>
      </c>
      <c r="DP107" s="96">
        <v>10</v>
      </c>
      <c r="DQ107" s="3">
        <v>7</v>
      </c>
      <c r="DR107" s="3">
        <v>0</v>
      </c>
    </row>
    <row r="108" spans="3:122" x14ac:dyDescent="0.35">
      <c r="C108" s="94" t="s">
        <v>14</v>
      </c>
      <c r="F108" s="96">
        <v>0</v>
      </c>
      <c r="H108" s="96">
        <v>0</v>
      </c>
      <c r="I108" s="96">
        <v>0</v>
      </c>
      <c r="J108" s="96">
        <v>0</v>
      </c>
      <c r="K108" s="96">
        <v>0</v>
      </c>
      <c r="L108" s="96">
        <v>0</v>
      </c>
      <c r="M108" s="96">
        <v>0</v>
      </c>
      <c r="N108" s="96">
        <v>0</v>
      </c>
      <c r="O108" s="96">
        <v>0</v>
      </c>
      <c r="P108" s="96">
        <v>0</v>
      </c>
      <c r="Q108" s="96">
        <v>0</v>
      </c>
      <c r="R108" s="96">
        <v>0</v>
      </c>
      <c r="S108" s="96">
        <v>0</v>
      </c>
      <c r="T108" s="96">
        <v>0</v>
      </c>
      <c r="U108" s="96">
        <v>0</v>
      </c>
      <c r="V108" s="96">
        <v>0</v>
      </c>
      <c r="W108" s="96">
        <v>0</v>
      </c>
      <c r="X108" s="96">
        <v>0</v>
      </c>
      <c r="Y108" s="96">
        <v>0</v>
      </c>
      <c r="Z108" s="96">
        <v>0</v>
      </c>
      <c r="AA108" s="96">
        <v>0</v>
      </c>
      <c r="AB108" s="96">
        <v>0</v>
      </c>
      <c r="AC108" s="96">
        <v>0</v>
      </c>
      <c r="AD108" s="96">
        <v>0</v>
      </c>
      <c r="AE108" s="96">
        <v>0</v>
      </c>
      <c r="AF108" s="96">
        <v>0</v>
      </c>
      <c r="AG108" s="96">
        <v>0</v>
      </c>
      <c r="AH108" s="96">
        <v>0</v>
      </c>
      <c r="AI108" s="96">
        <v>0</v>
      </c>
      <c r="AJ108" s="96">
        <v>0</v>
      </c>
      <c r="AK108" s="96">
        <v>0</v>
      </c>
      <c r="AL108" s="96">
        <v>0</v>
      </c>
      <c r="AM108" s="96">
        <v>0</v>
      </c>
      <c r="AN108" s="96">
        <v>0</v>
      </c>
      <c r="AO108" s="96">
        <v>0</v>
      </c>
      <c r="AP108" s="96">
        <v>0</v>
      </c>
      <c r="AQ108" s="96">
        <v>0</v>
      </c>
      <c r="AR108" s="96">
        <v>0</v>
      </c>
      <c r="AS108" s="96">
        <v>0</v>
      </c>
      <c r="AT108" s="96">
        <v>0</v>
      </c>
      <c r="AU108" s="96">
        <v>0</v>
      </c>
      <c r="AV108" s="96">
        <v>0</v>
      </c>
      <c r="AW108" s="96">
        <v>0</v>
      </c>
      <c r="AX108" s="96">
        <v>0</v>
      </c>
      <c r="AY108" s="96">
        <v>0</v>
      </c>
      <c r="AZ108" s="96">
        <v>0</v>
      </c>
      <c r="BA108" s="96">
        <v>0</v>
      </c>
      <c r="BB108" s="96">
        <v>0</v>
      </c>
      <c r="BC108" s="96">
        <v>0</v>
      </c>
      <c r="BD108" s="96">
        <v>0</v>
      </c>
      <c r="BE108" s="96">
        <v>0</v>
      </c>
      <c r="BF108" s="96">
        <v>0</v>
      </c>
      <c r="BG108" s="96">
        <v>0</v>
      </c>
      <c r="BH108" s="96">
        <v>0</v>
      </c>
      <c r="BI108" s="96">
        <v>0</v>
      </c>
      <c r="BJ108" s="96">
        <v>0</v>
      </c>
      <c r="BK108" s="96">
        <v>0</v>
      </c>
      <c r="BL108" s="96">
        <v>0</v>
      </c>
      <c r="BM108" s="96">
        <v>0</v>
      </c>
      <c r="BN108" s="96">
        <v>0</v>
      </c>
      <c r="BO108" s="96">
        <v>0</v>
      </c>
      <c r="BP108" s="96">
        <v>0</v>
      </c>
      <c r="BQ108" s="96">
        <v>0</v>
      </c>
      <c r="BR108" s="96">
        <v>0</v>
      </c>
      <c r="BS108" s="96">
        <v>0</v>
      </c>
      <c r="BT108" s="96">
        <v>0</v>
      </c>
      <c r="BU108" s="96">
        <v>0</v>
      </c>
      <c r="BV108" s="96">
        <v>0</v>
      </c>
      <c r="BW108" s="96">
        <v>0</v>
      </c>
      <c r="BX108" s="96">
        <v>0</v>
      </c>
      <c r="BY108" s="96">
        <v>0</v>
      </c>
      <c r="BZ108" s="96">
        <v>0</v>
      </c>
      <c r="CA108" s="96">
        <v>0</v>
      </c>
      <c r="CB108" s="96">
        <v>0</v>
      </c>
      <c r="CC108" s="96">
        <v>0</v>
      </c>
      <c r="CD108" s="96">
        <v>0</v>
      </c>
      <c r="CE108" s="96">
        <v>0</v>
      </c>
      <c r="CF108" s="96">
        <v>0</v>
      </c>
      <c r="CG108" s="96">
        <v>0</v>
      </c>
      <c r="CH108" s="96">
        <v>0</v>
      </c>
      <c r="CI108" s="96">
        <v>0</v>
      </c>
      <c r="CJ108" s="96">
        <v>0</v>
      </c>
      <c r="CK108" s="96">
        <v>0</v>
      </c>
      <c r="CL108" s="96">
        <v>0</v>
      </c>
      <c r="CM108" s="96">
        <v>0</v>
      </c>
      <c r="CN108" s="96">
        <v>0</v>
      </c>
      <c r="CO108" s="96">
        <v>0</v>
      </c>
      <c r="CP108" s="96">
        <v>0</v>
      </c>
      <c r="CQ108" s="96">
        <v>0</v>
      </c>
      <c r="CR108" s="96">
        <v>0</v>
      </c>
      <c r="CS108" s="96">
        <v>0</v>
      </c>
      <c r="CT108" s="96">
        <v>0</v>
      </c>
      <c r="CU108" s="96">
        <v>0</v>
      </c>
      <c r="CV108" s="96">
        <v>0</v>
      </c>
      <c r="CW108" s="96">
        <v>0</v>
      </c>
      <c r="CX108" s="96">
        <v>0</v>
      </c>
      <c r="CY108" s="96">
        <v>0</v>
      </c>
      <c r="CZ108" s="96">
        <v>0</v>
      </c>
      <c r="DA108" s="96">
        <v>0</v>
      </c>
      <c r="DB108" s="96">
        <v>0</v>
      </c>
      <c r="DC108" s="96">
        <v>0</v>
      </c>
      <c r="DD108" s="96">
        <v>0</v>
      </c>
      <c r="DE108" s="96">
        <v>0</v>
      </c>
      <c r="DF108" s="96">
        <v>0</v>
      </c>
      <c r="DG108" s="96">
        <v>0</v>
      </c>
      <c r="DH108" s="96">
        <v>0</v>
      </c>
      <c r="DI108" s="96">
        <v>0</v>
      </c>
      <c r="DJ108" s="96">
        <v>0</v>
      </c>
      <c r="DK108" s="96">
        <v>0</v>
      </c>
      <c r="DL108" s="96">
        <v>0</v>
      </c>
      <c r="DM108" s="96">
        <v>0</v>
      </c>
      <c r="DN108" s="96">
        <v>0</v>
      </c>
      <c r="DO108" s="96">
        <v>0</v>
      </c>
      <c r="DP108" s="96">
        <v>1</v>
      </c>
      <c r="DQ108" s="3">
        <v>1.25</v>
      </c>
      <c r="DR108" s="3">
        <v>0</v>
      </c>
    </row>
    <row r="109" spans="3:122" x14ac:dyDescent="0.35">
      <c r="C109" s="94" t="s">
        <v>318</v>
      </c>
      <c r="F109" s="97">
        <v>1</v>
      </c>
      <c r="H109" s="97">
        <v>1</v>
      </c>
      <c r="I109" s="97">
        <v>1</v>
      </c>
      <c r="J109" s="97">
        <v>1</v>
      </c>
      <c r="K109" s="97">
        <v>4</v>
      </c>
      <c r="L109" s="97">
        <v>4</v>
      </c>
      <c r="M109" s="97">
        <v>4</v>
      </c>
      <c r="N109" s="97">
        <v>4</v>
      </c>
      <c r="O109" s="97">
        <v>30</v>
      </c>
      <c r="P109" s="97">
        <v>34</v>
      </c>
      <c r="Q109" s="97">
        <v>34</v>
      </c>
      <c r="R109" s="97">
        <v>34</v>
      </c>
      <c r="S109" s="97">
        <v>34</v>
      </c>
      <c r="T109" s="97">
        <v>5</v>
      </c>
      <c r="U109" s="97">
        <v>2</v>
      </c>
      <c r="V109" s="97">
        <v>13</v>
      </c>
      <c r="W109" s="97">
        <v>3</v>
      </c>
      <c r="X109" s="97">
        <v>25</v>
      </c>
      <c r="Y109" s="97">
        <v>3</v>
      </c>
      <c r="Z109" s="97">
        <v>2</v>
      </c>
      <c r="AA109" s="97">
        <v>1</v>
      </c>
      <c r="AB109" s="97">
        <v>3</v>
      </c>
      <c r="AC109" s="97">
        <v>3</v>
      </c>
      <c r="AD109" s="97">
        <v>3</v>
      </c>
      <c r="AE109" s="97">
        <v>6</v>
      </c>
      <c r="AF109" s="97">
        <v>7</v>
      </c>
      <c r="AG109" s="97">
        <v>7</v>
      </c>
      <c r="AH109" s="97">
        <v>7</v>
      </c>
      <c r="AI109" s="97">
        <v>3</v>
      </c>
      <c r="AJ109" s="97">
        <v>3</v>
      </c>
      <c r="AK109" s="97">
        <v>3</v>
      </c>
      <c r="AL109" s="97">
        <v>25</v>
      </c>
      <c r="AM109" s="97">
        <v>40</v>
      </c>
      <c r="AN109" s="97">
        <v>25</v>
      </c>
      <c r="AO109" s="97">
        <v>6</v>
      </c>
      <c r="AP109" s="97">
        <v>35</v>
      </c>
      <c r="AQ109" s="97">
        <v>35</v>
      </c>
      <c r="AR109" s="97">
        <v>10</v>
      </c>
      <c r="AS109" s="97">
        <v>10</v>
      </c>
      <c r="AT109" s="97">
        <v>10</v>
      </c>
      <c r="AU109" s="97">
        <v>1</v>
      </c>
      <c r="AV109" s="97">
        <v>2</v>
      </c>
      <c r="AW109" s="97">
        <v>40</v>
      </c>
      <c r="AX109" s="97">
        <v>40</v>
      </c>
      <c r="AY109" s="97">
        <v>4</v>
      </c>
      <c r="AZ109" s="97">
        <v>2</v>
      </c>
      <c r="BA109" s="97">
        <v>40</v>
      </c>
      <c r="BB109" s="97">
        <v>6</v>
      </c>
      <c r="BC109" s="97">
        <v>2</v>
      </c>
      <c r="BD109" s="97">
        <v>34</v>
      </c>
      <c r="BE109" s="97">
        <v>1</v>
      </c>
      <c r="BF109" s="97">
        <v>-8</v>
      </c>
      <c r="BG109" s="97">
        <v>-8</v>
      </c>
      <c r="BH109" s="97">
        <v>4</v>
      </c>
      <c r="BI109" s="97">
        <v>12</v>
      </c>
      <c r="BJ109" s="97">
        <v>22</v>
      </c>
      <c r="BK109" s="97">
        <v>12</v>
      </c>
      <c r="BL109" s="97">
        <v>12</v>
      </c>
      <c r="BM109" s="97">
        <v>8</v>
      </c>
      <c r="BN109" s="97">
        <v>11</v>
      </c>
      <c r="BO109" s="97">
        <v>1</v>
      </c>
      <c r="BP109" s="97">
        <v>1</v>
      </c>
      <c r="BQ109" s="97">
        <v>1</v>
      </c>
      <c r="BR109" s="97">
        <v>1</v>
      </c>
      <c r="BS109" s="97">
        <v>12</v>
      </c>
      <c r="BT109" s="97">
        <v>4</v>
      </c>
      <c r="BU109" s="97">
        <v>4</v>
      </c>
      <c r="BV109" s="97">
        <v>8</v>
      </c>
      <c r="BW109" s="97">
        <v>8</v>
      </c>
      <c r="BX109" s="97">
        <v>1</v>
      </c>
      <c r="BY109" s="97">
        <v>1</v>
      </c>
      <c r="BZ109" s="97">
        <v>4</v>
      </c>
      <c r="CA109" s="97">
        <v>12</v>
      </c>
      <c r="CB109" s="97">
        <v>12</v>
      </c>
      <c r="CC109" s="97">
        <v>8</v>
      </c>
      <c r="CD109" s="97">
        <v>7</v>
      </c>
      <c r="CE109" s="97">
        <v>5</v>
      </c>
      <c r="CF109" s="97">
        <v>8</v>
      </c>
      <c r="CG109" s="97">
        <v>21</v>
      </c>
      <c r="CH109" s="97">
        <v>8</v>
      </c>
      <c r="CI109" s="97">
        <v>5</v>
      </c>
      <c r="CJ109" s="97">
        <v>2</v>
      </c>
      <c r="CK109" s="97">
        <v>8</v>
      </c>
      <c r="CL109" s="97">
        <v>8</v>
      </c>
      <c r="CM109" s="97">
        <v>12</v>
      </c>
      <c r="CN109" s="97">
        <v>12</v>
      </c>
      <c r="CO109" s="97">
        <v>12</v>
      </c>
      <c r="CP109" s="97">
        <v>8</v>
      </c>
      <c r="CQ109" s="97">
        <v>12</v>
      </c>
      <c r="CR109" s="97">
        <v>1</v>
      </c>
      <c r="CS109" s="97">
        <v>3</v>
      </c>
      <c r="CT109" s="97">
        <v>8</v>
      </c>
      <c r="CU109" s="97">
        <v>25</v>
      </c>
      <c r="CV109" s="97">
        <v>25</v>
      </c>
      <c r="CW109" s="97">
        <v>25</v>
      </c>
      <c r="CX109" s="97">
        <v>1</v>
      </c>
      <c r="CY109" s="97">
        <v>1</v>
      </c>
      <c r="CZ109" s="97">
        <v>1</v>
      </c>
      <c r="DA109" s="97">
        <v>12.5</v>
      </c>
      <c r="DB109" s="97">
        <v>25</v>
      </c>
      <c r="DC109" s="97">
        <v>1</v>
      </c>
      <c r="DD109" s="97">
        <v>25</v>
      </c>
      <c r="DE109" s="97">
        <v>4</v>
      </c>
      <c r="DF109" s="97">
        <v>1</v>
      </c>
      <c r="DG109" s="97">
        <v>1</v>
      </c>
      <c r="DH109" s="97">
        <v>1</v>
      </c>
      <c r="DI109" s="97">
        <v>-1</v>
      </c>
      <c r="DJ109" s="97">
        <v>1</v>
      </c>
      <c r="DK109" s="97">
        <v>1</v>
      </c>
      <c r="DL109" s="97">
        <v>1</v>
      </c>
      <c r="DM109" s="97">
        <v>25</v>
      </c>
      <c r="DN109" s="97">
        <v>17</v>
      </c>
      <c r="DO109" s="97">
        <v>2</v>
      </c>
      <c r="DP109" s="97">
        <v>10</v>
      </c>
      <c r="DQ109" s="6">
        <v>12</v>
      </c>
      <c r="DR109" s="6">
        <v>1</v>
      </c>
    </row>
    <row r="110" spans="3:122" x14ac:dyDescent="0.35">
      <c r="C110" s="94"/>
      <c r="F110" s="94"/>
      <c r="H110" s="94"/>
      <c r="I110" s="94"/>
      <c r="J110" s="94"/>
      <c r="K110" s="94"/>
      <c r="L110" s="94"/>
      <c r="M110" s="94"/>
      <c r="N110" s="94"/>
      <c r="O110" s="94"/>
      <c r="P110" s="94"/>
      <c r="Q110" s="94"/>
      <c r="R110" s="94"/>
      <c r="S110" s="94"/>
      <c r="T110" s="94"/>
      <c r="U110" s="94"/>
      <c r="V110" s="94"/>
      <c r="W110" s="94"/>
      <c r="X110" s="94"/>
      <c r="Y110" s="94"/>
      <c r="Z110" s="94"/>
      <c r="AA110" s="94"/>
      <c r="AB110" s="94"/>
      <c r="AC110" s="94"/>
      <c r="AD110" s="94"/>
      <c r="AE110" s="94"/>
      <c r="AF110" s="94"/>
      <c r="AG110" s="94"/>
      <c r="AH110" s="94"/>
      <c r="AI110" s="94"/>
      <c r="AJ110" s="94"/>
      <c r="AK110" s="94"/>
      <c r="AL110" s="94"/>
      <c r="AM110" s="94"/>
      <c r="AN110" s="94"/>
      <c r="AO110" s="94"/>
      <c r="AP110" s="94"/>
      <c r="AQ110" s="94"/>
      <c r="AR110" s="94"/>
      <c r="AS110" s="94"/>
      <c r="AT110" s="94"/>
      <c r="AU110" s="94"/>
      <c r="AV110" s="94"/>
      <c r="AW110" s="94"/>
      <c r="AX110" s="94"/>
      <c r="AY110" s="94"/>
      <c r="AZ110" s="94"/>
      <c r="BA110" s="94"/>
      <c r="BB110" s="94"/>
      <c r="BC110" s="94"/>
      <c r="BD110" s="94"/>
      <c r="BE110" s="94"/>
      <c r="BF110" s="94"/>
      <c r="BG110" s="94"/>
      <c r="BH110" s="94"/>
      <c r="BI110" s="94"/>
      <c r="BJ110" s="94"/>
      <c r="BK110" s="94"/>
      <c r="BL110" s="94"/>
      <c r="BM110" s="94"/>
      <c r="BN110" s="94"/>
      <c r="BO110" s="94"/>
      <c r="BP110" s="94"/>
      <c r="BQ110" s="94"/>
      <c r="BR110" s="94"/>
      <c r="BS110" s="94"/>
      <c r="BT110" s="94"/>
      <c r="BU110" s="94"/>
      <c r="BV110" s="94"/>
      <c r="BW110" s="94"/>
      <c r="BX110" s="94"/>
      <c r="BY110" s="94"/>
      <c r="BZ110" s="94"/>
      <c r="CA110" s="94"/>
      <c r="CB110" s="94"/>
      <c r="CC110" s="94"/>
      <c r="CD110" s="94"/>
      <c r="CE110" s="94"/>
      <c r="CF110" s="94"/>
      <c r="CG110" s="94"/>
      <c r="CH110" s="94"/>
      <c r="CI110" s="94"/>
      <c r="CJ110" s="94"/>
      <c r="CK110" s="94"/>
      <c r="CL110" s="94"/>
      <c r="CM110" s="94"/>
      <c r="CN110" s="94"/>
      <c r="CO110" s="94"/>
      <c r="CP110" s="94"/>
      <c r="CQ110" s="94"/>
      <c r="CR110" s="94"/>
      <c r="CS110" s="94"/>
      <c r="CT110" s="94"/>
      <c r="CU110" s="94"/>
      <c r="CV110" s="94"/>
      <c r="CW110" s="94"/>
      <c r="CX110" s="94"/>
      <c r="CY110" s="94"/>
      <c r="CZ110" s="94"/>
      <c r="DA110" s="94"/>
      <c r="DB110" s="94"/>
      <c r="DC110" s="94"/>
      <c r="DD110" s="94"/>
      <c r="DE110" s="94"/>
      <c r="DF110" s="94"/>
      <c r="DG110" s="94"/>
      <c r="DH110" s="94"/>
      <c r="DI110" s="94"/>
      <c r="DJ110" s="94"/>
      <c r="DK110" s="94"/>
      <c r="DM110" s="94"/>
      <c r="DN110" s="94"/>
      <c r="DO110" s="94"/>
      <c r="DP110" s="94"/>
    </row>
    <row r="111" spans="3:122" x14ac:dyDescent="0.35">
      <c r="C111" s="94" t="s">
        <v>332</v>
      </c>
      <c r="F111" s="96">
        <f>F102*F101*100</f>
        <v>5600</v>
      </c>
      <c r="H111" s="96">
        <f>H102*H101*100</f>
        <v>5600</v>
      </c>
      <c r="I111" s="96">
        <f>I102*I101*100</f>
        <v>10700</v>
      </c>
      <c r="J111" s="96">
        <f>J102*J101*100</f>
        <v>10800</v>
      </c>
      <c r="K111" s="96">
        <f t="shared" ref="K111:AK111" si="188">K102*K101*100</f>
        <v>11800</v>
      </c>
      <c r="L111" s="96">
        <f t="shared" si="188"/>
        <v>11900</v>
      </c>
      <c r="M111" s="96">
        <f t="shared" si="188"/>
        <v>9600</v>
      </c>
      <c r="N111" s="96">
        <f t="shared" si="188"/>
        <v>9600</v>
      </c>
      <c r="O111" s="96">
        <f t="shared" si="188"/>
        <v>43500</v>
      </c>
      <c r="P111" s="96">
        <f t="shared" si="188"/>
        <v>42500</v>
      </c>
      <c r="Q111" s="96">
        <f t="shared" si="188"/>
        <v>71500</v>
      </c>
      <c r="R111" s="96">
        <f t="shared" si="188"/>
        <v>56500</v>
      </c>
      <c r="S111" s="96">
        <f t="shared" si="188"/>
        <v>71500</v>
      </c>
      <c r="T111" s="96">
        <f t="shared" si="188"/>
        <v>4000</v>
      </c>
      <c r="U111" s="96">
        <f t="shared" si="188"/>
        <v>8000</v>
      </c>
      <c r="V111" s="96">
        <f t="shared" si="188"/>
        <v>6500</v>
      </c>
      <c r="W111" s="96">
        <f t="shared" si="188"/>
        <v>9700</v>
      </c>
      <c r="X111" s="96">
        <f t="shared" si="188"/>
        <v>6500</v>
      </c>
      <c r="Y111" s="96">
        <f t="shared" si="188"/>
        <v>10900</v>
      </c>
      <c r="Z111" s="96">
        <f t="shared" si="188"/>
        <v>11300</v>
      </c>
      <c r="AA111" s="96">
        <f t="shared" si="188"/>
        <v>9600</v>
      </c>
      <c r="AB111" s="96">
        <f t="shared" si="188"/>
        <v>9600</v>
      </c>
      <c r="AC111" s="96">
        <f t="shared" si="188"/>
        <v>10900</v>
      </c>
      <c r="AD111" s="96">
        <f t="shared" si="188"/>
        <v>10900</v>
      </c>
      <c r="AE111" s="96">
        <f t="shared" si="188"/>
        <v>11400</v>
      </c>
      <c r="AF111" s="96">
        <f t="shared" si="188"/>
        <v>11400</v>
      </c>
      <c r="AG111" s="96">
        <f t="shared" si="188"/>
        <v>9700</v>
      </c>
      <c r="AH111" s="96">
        <f t="shared" si="188"/>
        <v>9800</v>
      </c>
      <c r="AI111" s="96">
        <f t="shared" si="188"/>
        <v>30500</v>
      </c>
      <c r="AJ111" s="96">
        <f t="shared" si="188"/>
        <v>30500</v>
      </c>
      <c r="AK111" s="96">
        <f t="shared" si="188"/>
        <v>30500</v>
      </c>
      <c r="AL111" s="96">
        <f t="shared" ref="AL111:AV111" si="189">AL102*AL101*100</f>
        <v>6500</v>
      </c>
      <c r="AM111" s="96">
        <f t="shared" si="189"/>
        <v>6500</v>
      </c>
      <c r="AN111" s="96">
        <f t="shared" si="189"/>
        <v>6500</v>
      </c>
      <c r="AO111" s="96">
        <f t="shared" si="189"/>
        <v>5500</v>
      </c>
      <c r="AP111" s="96">
        <f t="shared" si="189"/>
        <v>6250</v>
      </c>
      <c r="AQ111" s="96">
        <f t="shared" si="189"/>
        <v>6250</v>
      </c>
      <c r="AR111" s="96">
        <f t="shared" si="189"/>
        <v>17500</v>
      </c>
      <c r="AS111" s="96">
        <f t="shared" si="189"/>
        <v>9000</v>
      </c>
      <c r="AT111" s="96">
        <f t="shared" si="189"/>
        <v>17500</v>
      </c>
      <c r="AU111" s="96">
        <f t="shared" si="189"/>
        <v>14750</v>
      </c>
      <c r="AV111" s="96">
        <f t="shared" si="189"/>
        <v>14750</v>
      </c>
      <c r="AW111" s="96">
        <f t="shared" ref="AW111:BB111" si="190">AW102*AW101*100</f>
        <v>9000</v>
      </c>
      <c r="AX111" s="96">
        <f t="shared" si="190"/>
        <v>9000</v>
      </c>
      <c r="AY111" s="96">
        <f t="shared" si="190"/>
        <v>5600</v>
      </c>
      <c r="AZ111" s="96">
        <f t="shared" si="190"/>
        <v>9300</v>
      </c>
      <c r="BA111" s="96">
        <f t="shared" si="190"/>
        <v>9250</v>
      </c>
      <c r="BB111" s="96">
        <f t="shared" si="190"/>
        <v>3700</v>
      </c>
      <c r="BC111" s="96">
        <f t="shared" ref="BC111:BH111" si="191">BC102*BC101*100</f>
        <v>31000</v>
      </c>
      <c r="BD111" s="96">
        <f t="shared" si="191"/>
        <v>34800</v>
      </c>
      <c r="BE111" s="96">
        <f t="shared" si="191"/>
        <v>42000</v>
      </c>
      <c r="BF111" s="96">
        <f t="shared" si="191"/>
        <v>42000</v>
      </c>
      <c r="BG111" s="96">
        <f t="shared" si="191"/>
        <v>42000</v>
      </c>
      <c r="BH111" s="96">
        <f t="shared" si="191"/>
        <v>42000</v>
      </c>
      <c r="BI111" s="96">
        <f t="shared" ref="BI111:BN111" si="192">BI102*BI101*100</f>
        <v>93500</v>
      </c>
      <c r="BJ111" s="96">
        <f t="shared" si="192"/>
        <v>49500</v>
      </c>
      <c r="BK111" s="96">
        <f t="shared" si="192"/>
        <v>93500</v>
      </c>
      <c r="BL111" s="96">
        <f t="shared" si="192"/>
        <v>93500</v>
      </c>
      <c r="BM111" s="96">
        <f t="shared" si="192"/>
        <v>93500</v>
      </c>
      <c r="BN111" s="96">
        <f t="shared" si="192"/>
        <v>168000</v>
      </c>
      <c r="BO111" s="96">
        <f t="shared" ref="BO111:BU111" si="193">BO102*BO101*100</f>
        <v>93500</v>
      </c>
      <c r="BP111" s="96">
        <f t="shared" si="193"/>
        <v>93500</v>
      </c>
      <c r="BQ111" s="96">
        <f t="shared" si="193"/>
        <v>93500</v>
      </c>
      <c r="BR111" s="96">
        <f t="shared" si="193"/>
        <v>93500</v>
      </c>
      <c r="BS111" s="96">
        <f t="shared" si="193"/>
        <v>3150</v>
      </c>
      <c r="BT111" s="96">
        <f t="shared" si="193"/>
        <v>51750</v>
      </c>
      <c r="BU111" s="96">
        <f t="shared" si="193"/>
        <v>25000</v>
      </c>
      <c r="BV111" s="96">
        <f t="shared" ref="BV111:CC111" si="194">BV102*BV101*100</f>
        <v>56000</v>
      </c>
      <c r="BW111" s="96">
        <f t="shared" si="194"/>
        <v>56000</v>
      </c>
      <c r="BX111" s="96">
        <f t="shared" si="194"/>
        <v>75000</v>
      </c>
      <c r="BY111" s="96">
        <f t="shared" si="194"/>
        <v>33000</v>
      </c>
      <c r="BZ111" s="96">
        <f t="shared" si="194"/>
        <v>75000</v>
      </c>
      <c r="CA111" s="96">
        <f t="shared" si="194"/>
        <v>15200</v>
      </c>
      <c r="CB111" s="96">
        <f t="shared" si="194"/>
        <v>3800</v>
      </c>
      <c r="CC111" s="96">
        <f t="shared" si="194"/>
        <v>56000</v>
      </c>
      <c r="CD111" s="96">
        <f t="shared" ref="CD111:CM111" si="195">CD102*CD101*100</f>
        <v>49500</v>
      </c>
      <c r="CE111" s="96">
        <f t="shared" si="195"/>
        <v>19000</v>
      </c>
      <c r="CF111" s="96">
        <f t="shared" si="195"/>
        <v>4800</v>
      </c>
      <c r="CG111" s="96">
        <f t="shared" si="195"/>
        <v>4800</v>
      </c>
      <c r="CH111" s="96">
        <f t="shared" si="195"/>
        <v>51750</v>
      </c>
      <c r="CI111" s="96">
        <f t="shared" si="195"/>
        <v>19550</v>
      </c>
      <c r="CJ111" s="96">
        <f t="shared" si="195"/>
        <v>6400</v>
      </c>
      <c r="CK111" s="96">
        <f t="shared" si="195"/>
        <v>19550</v>
      </c>
      <c r="CL111" s="96">
        <f t="shared" si="195"/>
        <v>18400</v>
      </c>
      <c r="CM111" s="96">
        <f t="shared" si="195"/>
        <v>37950</v>
      </c>
      <c r="CN111" s="96">
        <f t="shared" ref="CN111:CT111" si="196">CN102*CN101*100</f>
        <v>33000</v>
      </c>
      <c r="CO111" s="96">
        <f t="shared" si="196"/>
        <v>33000</v>
      </c>
      <c r="CP111" s="96">
        <f t="shared" si="196"/>
        <v>37950</v>
      </c>
      <c r="CQ111" s="96">
        <f t="shared" si="196"/>
        <v>7700</v>
      </c>
      <c r="CR111" s="96">
        <f t="shared" si="196"/>
        <v>105600</v>
      </c>
      <c r="CS111" s="96">
        <f t="shared" si="196"/>
        <v>6100</v>
      </c>
      <c r="CT111" s="96">
        <f t="shared" si="196"/>
        <v>18700</v>
      </c>
      <c r="CU111" s="96">
        <f t="shared" ref="CU111:DB111" si="197">CU102*CU101*100</f>
        <v>105600</v>
      </c>
      <c r="CV111" s="96">
        <f t="shared" si="197"/>
        <v>105600</v>
      </c>
      <c r="CW111" s="96">
        <f t="shared" si="197"/>
        <v>105600</v>
      </c>
      <c r="CX111" s="96">
        <f t="shared" si="197"/>
        <v>105600</v>
      </c>
      <c r="CY111" s="96">
        <f t="shared" si="197"/>
        <v>105600</v>
      </c>
      <c r="CZ111" s="96">
        <f t="shared" si="197"/>
        <v>105600</v>
      </c>
      <c r="DA111" s="96">
        <f t="shared" si="197"/>
        <v>105600</v>
      </c>
      <c r="DB111" s="96">
        <f t="shared" si="197"/>
        <v>105600</v>
      </c>
      <c r="DC111" s="96">
        <f>DC102*DC101*100</f>
        <v>105600</v>
      </c>
      <c r="DD111" s="96">
        <f>DD102*DD101*100</f>
        <v>105600</v>
      </c>
      <c r="DE111" s="96">
        <f>DE102*DE101*100</f>
        <v>6300</v>
      </c>
      <c r="DF111" s="96">
        <f t="shared" ref="DF111:DL111" si="198">DF102*DF101*100</f>
        <v>59500</v>
      </c>
      <c r="DG111" s="96">
        <f t="shared" si="198"/>
        <v>75000</v>
      </c>
      <c r="DH111" s="96">
        <f t="shared" si="198"/>
        <v>64800</v>
      </c>
      <c r="DI111" s="96">
        <f t="shared" si="198"/>
        <v>61800</v>
      </c>
      <c r="DJ111" s="96">
        <f t="shared" si="198"/>
        <v>105600</v>
      </c>
      <c r="DK111" s="96">
        <f t="shared" si="198"/>
        <v>11600</v>
      </c>
      <c r="DL111" s="96">
        <f t="shared" si="198"/>
        <v>23200</v>
      </c>
      <c r="DM111" s="96">
        <f t="shared" ref="DM111:DR111" si="199">DM102*DM101*100</f>
        <v>52000</v>
      </c>
      <c r="DN111" s="96">
        <f t="shared" si="199"/>
        <v>30000</v>
      </c>
      <c r="DO111" s="96">
        <f t="shared" si="199"/>
        <v>8050</v>
      </c>
      <c r="DP111" s="96">
        <f t="shared" si="199"/>
        <v>58000</v>
      </c>
      <c r="DQ111" s="3">
        <f t="shared" si="199"/>
        <v>24000</v>
      </c>
      <c r="DR111" s="3">
        <f t="shared" si="199"/>
        <v>28500</v>
      </c>
    </row>
    <row r="112" spans="3:122" x14ac:dyDescent="0.35">
      <c r="C112" s="94" t="s">
        <v>333</v>
      </c>
      <c r="F112" s="96">
        <f>F106*F105*100</f>
        <v>6150</v>
      </c>
      <c r="H112" s="96">
        <f>H106*H105*100</f>
        <v>6150</v>
      </c>
      <c r="I112" s="96">
        <f>I106*I105*100</f>
        <v>10400</v>
      </c>
      <c r="J112" s="96">
        <f>J106*J105*100</f>
        <v>10600</v>
      </c>
      <c r="K112" s="96">
        <f t="shared" ref="K112:AK112" si="200">K106*K105*100</f>
        <v>11500</v>
      </c>
      <c r="L112" s="96">
        <f t="shared" si="200"/>
        <v>13800</v>
      </c>
      <c r="M112" s="96">
        <f t="shared" si="200"/>
        <v>9250</v>
      </c>
      <c r="N112" s="96">
        <f t="shared" si="200"/>
        <v>9250</v>
      </c>
      <c r="O112" s="96">
        <f t="shared" si="200"/>
        <v>94000</v>
      </c>
      <c r="P112" s="96">
        <f t="shared" si="200"/>
        <v>48000</v>
      </c>
      <c r="Q112" s="96">
        <f t="shared" si="200"/>
        <v>96000</v>
      </c>
      <c r="R112" s="96">
        <f t="shared" si="200"/>
        <v>60000</v>
      </c>
      <c r="S112" s="96">
        <f t="shared" si="200"/>
        <v>96000</v>
      </c>
      <c r="T112" s="96">
        <f t="shared" si="200"/>
        <v>4200</v>
      </c>
      <c r="U112" s="96">
        <f t="shared" si="200"/>
        <v>11900</v>
      </c>
      <c r="V112" s="96">
        <f t="shared" si="200"/>
        <v>6500</v>
      </c>
      <c r="W112" s="96">
        <f t="shared" si="200"/>
        <v>9800</v>
      </c>
      <c r="X112" s="96">
        <f t="shared" si="200"/>
        <v>9500</v>
      </c>
      <c r="Y112" s="96">
        <f t="shared" si="200"/>
        <v>9700</v>
      </c>
      <c r="Z112" s="96">
        <f t="shared" si="200"/>
        <v>11300</v>
      </c>
      <c r="AA112" s="96">
        <f t="shared" si="200"/>
        <v>9600</v>
      </c>
      <c r="AB112" s="96">
        <f t="shared" si="200"/>
        <v>10000</v>
      </c>
      <c r="AC112" s="96">
        <f t="shared" si="200"/>
        <v>9700</v>
      </c>
      <c r="AD112" s="96">
        <f t="shared" si="200"/>
        <v>10000</v>
      </c>
      <c r="AE112" s="96">
        <f t="shared" si="200"/>
        <v>10300</v>
      </c>
      <c r="AF112" s="96">
        <f t="shared" si="200"/>
        <v>10500</v>
      </c>
      <c r="AG112" s="96">
        <f t="shared" si="200"/>
        <v>9500</v>
      </c>
      <c r="AH112" s="96">
        <f t="shared" si="200"/>
        <v>10000</v>
      </c>
      <c r="AI112" s="96">
        <f t="shared" si="200"/>
        <v>20800</v>
      </c>
      <c r="AJ112" s="96">
        <f t="shared" si="200"/>
        <v>9800</v>
      </c>
      <c r="AK112" s="96">
        <f t="shared" si="200"/>
        <v>28500</v>
      </c>
      <c r="AL112" s="96">
        <f t="shared" ref="AL112:AV112" si="201">AL106*AL105*100</f>
        <v>9000</v>
      </c>
      <c r="AM112" s="96">
        <f t="shared" si="201"/>
        <v>7500</v>
      </c>
      <c r="AN112" s="96">
        <f t="shared" si="201"/>
        <v>9000</v>
      </c>
      <c r="AO112" s="96">
        <f t="shared" si="201"/>
        <v>5300</v>
      </c>
      <c r="AP112" s="96">
        <f t="shared" si="201"/>
        <v>9000</v>
      </c>
      <c r="AQ112" s="96">
        <f t="shared" si="201"/>
        <v>9000</v>
      </c>
      <c r="AR112" s="96">
        <f t="shared" si="201"/>
        <v>18000</v>
      </c>
      <c r="AS112" s="96">
        <f t="shared" si="201"/>
        <v>9700</v>
      </c>
      <c r="AT112" s="96">
        <f t="shared" si="201"/>
        <v>10000</v>
      </c>
      <c r="AU112" s="96">
        <f t="shared" si="201"/>
        <v>20000</v>
      </c>
      <c r="AV112" s="96">
        <f t="shared" si="201"/>
        <v>14500</v>
      </c>
      <c r="AW112" s="96">
        <f t="shared" ref="AW112:BB112" si="202">AW106*AW105*100</f>
        <v>12000</v>
      </c>
      <c r="AX112" s="96">
        <f t="shared" si="202"/>
        <v>18000</v>
      </c>
      <c r="AY112" s="96">
        <f t="shared" si="202"/>
        <v>5500</v>
      </c>
      <c r="AZ112" s="96">
        <f t="shared" si="202"/>
        <v>9000</v>
      </c>
      <c r="BA112" s="96">
        <f t="shared" si="202"/>
        <v>16000</v>
      </c>
      <c r="BB112" s="96">
        <f t="shared" si="202"/>
        <v>6500</v>
      </c>
      <c r="BC112" s="96">
        <f t="shared" ref="BC112:BH112" si="203">BC106*BC105*100</f>
        <v>31000</v>
      </c>
      <c r="BD112" s="96">
        <f t="shared" si="203"/>
        <v>36000</v>
      </c>
      <c r="BE112" s="96">
        <f t="shared" si="203"/>
        <v>70500</v>
      </c>
      <c r="BF112" s="96">
        <f t="shared" si="203"/>
        <v>72500</v>
      </c>
      <c r="BG112" s="96">
        <f t="shared" si="203"/>
        <v>74500</v>
      </c>
      <c r="BH112" s="96">
        <f t="shared" si="203"/>
        <v>33000</v>
      </c>
      <c r="BI112" s="96">
        <f t="shared" ref="BI112:BN112" si="204">BI106*BI105*100</f>
        <v>89250</v>
      </c>
      <c r="BJ112" s="96">
        <f t="shared" si="204"/>
        <v>49500</v>
      </c>
      <c r="BK112" s="96">
        <f t="shared" si="204"/>
        <v>82500</v>
      </c>
      <c r="BL112" s="96">
        <f t="shared" si="204"/>
        <v>75000</v>
      </c>
      <c r="BM112" s="96">
        <f t="shared" si="204"/>
        <v>79000</v>
      </c>
      <c r="BN112" s="96">
        <f t="shared" si="204"/>
        <v>172500</v>
      </c>
      <c r="BO112" s="96">
        <f t="shared" ref="BO112:BU112" si="205">BO106*BO105*100</f>
        <v>78500</v>
      </c>
      <c r="BP112" s="96">
        <f t="shared" si="205"/>
        <v>78000</v>
      </c>
      <c r="BQ112" s="96">
        <f t="shared" si="205"/>
        <v>90000</v>
      </c>
      <c r="BR112" s="96">
        <f t="shared" si="205"/>
        <v>80500</v>
      </c>
      <c r="BS112" s="96">
        <f t="shared" si="205"/>
        <v>3600</v>
      </c>
      <c r="BT112" s="96">
        <f t="shared" si="205"/>
        <v>82000</v>
      </c>
      <c r="BU112" s="96">
        <f t="shared" si="205"/>
        <v>0</v>
      </c>
      <c r="BV112" s="96">
        <f t="shared" ref="BV112:CC112" si="206">BV106*BV105*100</f>
        <v>49700</v>
      </c>
      <c r="BW112" s="96">
        <f t="shared" si="206"/>
        <v>49700</v>
      </c>
      <c r="BX112" s="96">
        <f t="shared" si="206"/>
        <v>79500</v>
      </c>
      <c r="BY112" s="96">
        <f t="shared" si="206"/>
        <v>25000</v>
      </c>
      <c r="BZ112" s="96">
        <f t="shared" si="206"/>
        <v>80000</v>
      </c>
      <c r="CA112" s="96">
        <f t="shared" si="206"/>
        <v>15000</v>
      </c>
      <c r="CB112" s="96">
        <f t="shared" si="206"/>
        <v>8600</v>
      </c>
      <c r="CC112" s="96">
        <f t="shared" si="206"/>
        <v>56000</v>
      </c>
      <c r="CD112" s="96">
        <f t="shared" ref="CD112:CM112" si="207">CD106*CD105*100</f>
        <v>54000</v>
      </c>
      <c r="CE112" s="96">
        <f t="shared" si="207"/>
        <v>20000</v>
      </c>
      <c r="CF112" s="96">
        <f t="shared" si="207"/>
        <v>4800</v>
      </c>
      <c r="CG112" s="96">
        <f t="shared" si="207"/>
        <v>5500</v>
      </c>
      <c r="CH112" s="96">
        <f t="shared" si="207"/>
        <v>49500</v>
      </c>
      <c r="CI112" s="96">
        <f t="shared" si="207"/>
        <v>20400</v>
      </c>
      <c r="CJ112" s="96">
        <f t="shared" si="207"/>
        <v>7400</v>
      </c>
      <c r="CK112" s="96">
        <f t="shared" si="207"/>
        <v>20400</v>
      </c>
      <c r="CL112" s="96">
        <f t="shared" si="207"/>
        <v>18000</v>
      </c>
      <c r="CM112" s="96">
        <f t="shared" si="207"/>
        <v>69000</v>
      </c>
      <c r="CN112" s="96">
        <f t="shared" ref="CN112:CT112" si="208">CN106*CN105*100</f>
        <v>69000</v>
      </c>
      <c r="CO112" s="96">
        <f t="shared" si="208"/>
        <v>34500</v>
      </c>
      <c r="CP112" s="96">
        <f t="shared" si="208"/>
        <v>69000</v>
      </c>
      <c r="CQ112" s="96">
        <f t="shared" si="208"/>
        <v>64000</v>
      </c>
      <c r="CR112" s="96">
        <f t="shared" si="208"/>
        <v>6000</v>
      </c>
      <c r="CS112" s="96">
        <f t="shared" si="208"/>
        <v>6000</v>
      </c>
      <c r="CT112" s="96">
        <f t="shared" si="208"/>
        <v>20400</v>
      </c>
      <c r="CU112" s="96">
        <f t="shared" ref="CU112:DB112" si="209">CU106*CU105*100</f>
        <v>125000</v>
      </c>
      <c r="CV112" s="96">
        <f t="shared" si="209"/>
        <v>120000</v>
      </c>
      <c r="CW112" s="96">
        <f t="shared" si="209"/>
        <v>115500</v>
      </c>
      <c r="CX112" s="96">
        <f t="shared" si="209"/>
        <v>118800</v>
      </c>
      <c r="CY112" s="96">
        <f t="shared" si="209"/>
        <v>135000</v>
      </c>
      <c r="CZ112" s="96">
        <f t="shared" si="209"/>
        <v>104000</v>
      </c>
      <c r="DA112" s="96">
        <f t="shared" si="209"/>
        <v>125000</v>
      </c>
      <c r="DB112" s="96">
        <f t="shared" si="209"/>
        <v>120000</v>
      </c>
      <c r="DC112" s="96">
        <f>DC106*DC105*100</f>
        <v>120000</v>
      </c>
      <c r="DD112" s="96">
        <f>DD106*DD105*100</f>
        <v>104000</v>
      </c>
      <c r="DE112" s="96">
        <f>DE106*DE105*100</f>
        <v>6200</v>
      </c>
      <c r="DF112" s="96">
        <f t="shared" ref="DF112:DL112" si="210">DF106*DF105*100</f>
        <v>59000</v>
      </c>
      <c r="DG112" s="96">
        <f t="shared" si="210"/>
        <v>68000</v>
      </c>
      <c r="DH112" s="96">
        <f t="shared" si="210"/>
        <v>59500</v>
      </c>
      <c r="DI112" s="96">
        <f t="shared" si="210"/>
        <v>63000</v>
      </c>
      <c r="DJ112" s="96">
        <f t="shared" si="210"/>
        <v>110000</v>
      </c>
      <c r="DK112" s="96">
        <f t="shared" si="210"/>
        <v>21000</v>
      </c>
      <c r="DL112" s="96">
        <f t="shared" si="210"/>
        <v>20800</v>
      </c>
      <c r="DM112" s="96">
        <f t="shared" ref="DM112:DR112" si="211">DM106*DM105*100</f>
        <v>56000</v>
      </c>
      <c r="DN112" s="96">
        <f t="shared" si="211"/>
        <v>31250</v>
      </c>
      <c r="DO112" s="96">
        <f t="shared" si="211"/>
        <v>7500</v>
      </c>
      <c r="DP112" s="96">
        <f t="shared" si="211"/>
        <v>55000</v>
      </c>
      <c r="DQ112" s="3">
        <f t="shared" si="211"/>
        <v>23800</v>
      </c>
      <c r="DR112" s="3">
        <f t="shared" si="211"/>
        <v>27900</v>
      </c>
    </row>
    <row r="113" spans="3:122" x14ac:dyDescent="0.35">
      <c r="C113" s="94" t="s">
        <v>334</v>
      </c>
      <c r="F113" s="96">
        <f>(100*F100+F108)*F101+F107</f>
        <v>336</v>
      </c>
      <c r="H113" s="96">
        <f>(100*H100+H108)*H101+H107</f>
        <v>336</v>
      </c>
      <c r="I113" s="96">
        <f>(100*I100+I108)*I101+I107</f>
        <v>56.999999999999993</v>
      </c>
      <c r="J113" s="96">
        <f>(100*J100+J108)*J101+J107</f>
        <v>118</v>
      </c>
      <c r="K113" s="96">
        <f t="shared" ref="K113:AK113" si="212">(100*K100+K108)*K101+K107</f>
        <v>490.00000000000006</v>
      </c>
      <c r="L113" s="96">
        <f t="shared" si="212"/>
        <v>570</v>
      </c>
      <c r="M113" s="96">
        <f t="shared" si="212"/>
        <v>430</v>
      </c>
      <c r="N113" s="96">
        <f t="shared" si="212"/>
        <v>430</v>
      </c>
      <c r="O113" s="96">
        <f t="shared" si="212"/>
        <v>5625</v>
      </c>
      <c r="P113" s="96">
        <f t="shared" si="212"/>
        <v>5349.9999999999991</v>
      </c>
      <c r="Q113" s="96">
        <f t="shared" si="212"/>
        <v>10870.000000000002</v>
      </c>
      <c r="R113" s="96">
        <f t="shared" si="212"/>
        <v>7125</v>
      </c>
      <c r="S113" s="96">
        <f t="shared" si="212"/>
        <v>10870.000000000002</v>
      </c>
      <c r="T113" s="96">
        <f t="shared" si="212"/>
        <v>275</v>
      </c>
      <c r="U113" s="96">
        <f t="shared" si="212"/>
        <v>636</v>
      </c>
      <c r="V113" s="96">
        <f t="shared" si="212"/>
        <v>509.99999999999994</v>
      </c>
      <c r="W113" s="96">
        <f t="shared" si="212"/>
        <v>254</v>
      </c>
      <c r="X113" s="96">
        <f t="shared" si="212"/>
        <v>509.99999999999994</v>
      </c>
      <c r="Y113" s="96">
        <f t="shared" si="212"/>
        <v>110.00000000000001</v>
      </c>
      <c r="Z113" s="96">
        <f t="shared" si="212"/>
        <v>495</v>
      </c>
      <c r="AA113" s="96">
        <f t="shared" si="212"/>
        <v>152</v>
      </c>
      <c r="AB113" s="96">
        <f t="shared" si="212"/>
        <v>162</v>
      </c>
      <c r="AC113" s="96">
        <f t="shared" si="212"/>
        <v>110.00000000000001</v>
      </c>
      <c r="AD113" s="96">
        <f t="shared" si="212"/>
        <v>190</v>
      </c>
      <c r="AE113" s="96">
        <f t="shared" si="212"/>
        <v>600</v>
      </c>
      <c r="AF113" s="96">
        <f t="shared" si="212"/>
        <v>600</v>
      </c>
      <c r="AG113" s="96">
        <f t="shared" si="212"/>
        <v>250</v>
      </c>
      <c r="AH113" s="96">
        <f t="shared" si="212"/>
        <v>366</v>
      </c>
      <c r="AI113" s="96">
        <f t="shared" si="212"/>
        <v>517</v>
      </c>
      <c r="AJ113" s="96">
        <f t="shared" si="212"/>
        <v>517</v>
      </c>
      <c r="AK113" s="96">
        <f t="shared" si="212"/>
        <v>517</v>
      </c>
      <c r="AL113" s="96">
        <f t="shared" ref="AL113:AV113" si="213">(100*AL100+AL108)*AL101+AL107</f>
        <v>500</v>
      </c>
      <c r="AM113" s="96">
        <f t="shared" si="213"/>
        <v>600</v>
      </c>
      <c r="AN113" s="96">
        <f t="shared" si="213"/>
        <v>600</v>
      </c>
      <c r="AO113" s="96">
        <f t="shared" si="213"/>
        <v>140</v>
      </c>
      <c r="AP113" s="96">
        <f t="shared" si="213"/>
        <v>965</v>
      </c>
      <c r="AQ113" s="96">
        <f t="shared" si="213"/>
        <v>961.99999999999989</v>
      </c>
      <c r="AR113" s="96">
        <f t="shared" si="213"/>
        <v>630</v>
      </c>
      <c r="AS113" s="96">
        <f t="shared" si="213"/>
        <v>492</v>
      </c>
      <c r="AT113" s="96">
        <f t="shared" si="213"/>
        <v>602</v>
      </c>
      <c r="AU113" s="96">
        <f t="shared" si="213"/>
        <v>240</v>
      </c>
      <c r="AV113" s="96">
        <f t="shared" si="213"/>
        <v>200</v>
      </c>
      <c r="AW113" s="96">
        <f t="shared" ref="AW113:BB113" si="214">(100*AW100+AW108)*AW101+AW107</f>
        <v>1700</v>
      </c>
      <c r="AX113" s="96">
        <f t="shared" si="214"/>
        <v>1625</v>
      </c>
      <c r="AY113" s="96">
        <f t="shared" si="214"/>
        <v>115.99999999999999</v>
      </c>
      <c r="AZ113" s="96">
        <f t="shared" si="214"/>
        <v>276</v>
      </c>
      <c r="BA113" s="96">
        <f t="shared" si="214"/>
        <v>1410</v>
      </c>
      <c r="BB113" s="96">
        <f t="shared" si="214"/>
        <v>680</v>
      </c>
      <c r="BC113" s="96">
        <f t="shared" ref="BC113:BH113" si="215">(100*BC100+BC108)*BC101+BC107</f>
        <v>10</v>
      </c>
      <c r="BD113" s="96">
        <f t="shared" si="215"/>
        <v>3930</v>
      </c>
      <c r="BE113" s="96">
        <f t="shared" si="215"/>
        <v>1805</v>
      </c>
      <c r="BF113" s="96">
        <f t="shared" si="215"/>
        <v>1805</v>
      </c>
      <c r="BG113" s="96">
        <f t="shared" si="215"/>
        <v>1805</v>
      </c>
      <c r="BH113" s="96">
        <f t="shared" si="215"/>
        <v>1485</v>
      </c>
      <c r="BI113" s="96">
        <f t="shared" ref="BI113:BN113" si="216">(100*BI100+BI108)*BI101+BI107</f>
        <v>9694.9999999999982</v>
      </c>
      <c r="BJ113" s="96">
        <f t="shared" si="216"/>
        <v>5134.9999999999991</v>
      </c>
      <c r="BK113" s="96">
        <f t="shared" si="216"/>
        <v>9440.0000000000018</v>
      </c>
      <c r="BL113" s="96">
        <f t="shared" si="216"/>
        <v>3065</v>
      </c>
      <c r="BM113" s="96">
        <f t="shared" si="216"/>
        <v>3150</v>
      </c>
      <c r="BN113" s="96">
        <f t="shared" si="216"/>
        <v>5180</v>
      </c>
      <c r="BO113" s="96">
        <f t="shared" ref="BO113:BU113" si="217">(100*BO100+BO108)*BO101+BO107</f>
        <v>1450</v>
      </c>
      <c r="BP113" s="96">
        <f t="shared" si="217"/>
        <v>1450</v>
      </c>
      <c r="BQ113" s="96">
        <f t="shared" si="217"/>
        <v>1450</v>
      </c>
      <c r="BR113" s="96">
        <f t="shared" si="217"/>
        <v>2469.9999999999995</v>
      </c>
      <c r="BS113" s="96">
        <f t="shared" si="217"/>
        <v>302</v>
      </c>
      <c r="BT113" s="96">
        <f t="shared" si="217"/>
        <v>2345</v>
      </c>
      <c r="BU113" s="96">
        <f t="shared" si="217"/>
        <v>80</v>
      </c>
      <c r="BV113" s="96">
        <f t="shared" ref="BV113:CC113" si="218">(100*BV100+BV108)*BV101+BV107</f>
        <v>1027</v>
      </c>
      <c r="BW113" s="96">
        <f t="shared" si="218"/>
        <v>802.99999999999989</v>
      </c>
      <c r="BX113" s="96">
        <f t="shared" si="218"/>
        <v>7655</v>
      </c>
      <c r="BY113" s="96">
        <f t="shared" si="218"/>
        <v>392</v>
      </c>
      <c r="BZ113" s="96">
        <f t="shared" si="218"/>
        <v>7715</v>
      </c>
      <c r="CA113" s="96">
        <f t="shared" si="218"/>
        <v>7205</v>
      </c>
      <c r="CB113" s="96">
        <f t="shared" si="218"/>
        <v>1805</v>
      </c>
      <c r="CC113" s="96">
        <f t="shared" si="218"/>
        <v>1769</v>
      </c>
      <c r="CD113" s="96">
        <f t="shared" ref="CD113:CM113" si="219">(100*CD100+CD108)*CD101+CD107</f>
        <v>1080</v>
      </c>
      <c r="CE113" s="96">
        <f t="shared" si="219"/>
        <v>9949.9999999999982</v>
      </c>
      <c r="CF113" s="96">
        <f t="shared" si="219"/>
        <v>420</v>
      </c>
      <c r="CG113" s="96">
        <f t="shared" si="219"/>
        <v>420</v>
      </c>
      <c r="CH113" s="96">
        <f t="shared" si="219"/>
        <v>3600</v>
      </c>
      <c r="CI113" s="96">
        <f t="shared" si="219"/>
        <v>357</v>
      </c>
      <c r="CJ113" s="96">
        <f t="shared" si="219"/>
        <v>34</v>
      </c>
      <c r="CK113" s="96">
        <f t="shared" si="219"/>
        <v>816</v>
      </c>
      <c r="CL113" s="96">
        <f t="shared" si="219"/>
        <v>2016</v>
      </c>
      <c r="CM113" s="96">
        <f t="shared" si="219"/>
        <v>4257</v>
      </c>
      <c r="CN113" s="96">
        <f t="shared" ref="CN113:CT113" si="220">(100*CN100+CN108)*CN101+CN107</f>
        <v>3120</v>
      </c>
      <c r="CO113" s="96">
        <f t="shared" si="220"/>
        <v>3120</v>
      </c>
      <c r="CP113" s="96">
        <f t="shared" si="220"/>
        <v>4257</v>
      </c>
      <c r="CQ113" s="96">
        <f t="shared" si="220"/>
        <v>959</v>
      </c>
      <c r="CR113" s="96">
        <f t="shared" si="220"/>
        <v>14256</v>
      </c>
      <c r="CS113" s="96">
        <f t="shared" si="220"/>
        <v>192</v>
      </c>
      <c r="CT113" s="96">
        <f t="shared" si="220"/>
        <v>680</v>
      </c>
      <c r="CU113" s="96">
        <f t="shared" ref="CU113:DB113" si="221">(100*CU100+CU108)*CU101+CU107</f>
        <v>15400</v>
      </c>
      <c r="CV113" s="96">
        <f t="shared" si="221"/>
        <v>15400</v>
      </c>
      <c r="CW113" s="96">
        <f t="shared" si="221"/>
        <v>15400</v>
      </c>
      <c r="CX113" s="96">
        <f t="shared" si="221"/>
        <v>15400</v>
      </c>
      <c r="CY113" s="96">
        <f t="shared" si="221"/>
        <v>15400</v>
      </c>
      <c r="CZ113" s="96">
        <f t="shared" si="221"/>
        <v>15400</v>
      </c>
      <c r="DA113" s="96">
        <f t="shared" si="221"/>
        <v>15400</v>
      </c>
      <c r="DB113" s="96">
        <f t="shared" si="221"/>
        <v>15400</v>
      </c>
      <c r="DC113" s="96">
        <f>(100*DC100+DC108)*DC101+DC107</f>
        <v>15400</v>
      </c>
      <c r="DD113" s="96">
        <f>(100*DD100+DD108)*DD101+DD107</f>
        <v>15400</v>
      </c>
      <c r="DE113" s="96">
        <f>(100*DE100+DE108)*DE101+DE107</f>
        <v>266</v>
      </c>
      <c r="DF113" s="96">
        <f t="shared" ref="DF113:DL113" si="222">(100*DF100+DF108)*DF101+DF107</f>
        <v>1010</v>
      </c>
      <c r="DG113" s="96">
        <f t="shared" si="222"/>
        <v>12150</v>
      </c>
      <c r="DH113" s="96">
        <f t="shared" si="222"/>
        <v>576</v>
      </c>
      <c r="DI113" s="96">
        <f t="shared" si="222"/>
        <v>372</v>
      </c>
      <c r="DJ113" s="96">
        <f t="shared" si="222"/>
        <v>20944</v>
      </c>
      <c r="DK113" s="96">
        <f t="shared" si="222"/>
        <v>32</v>
      </c>
      <c r="DL113" s="96">
        <f t="shared" si="222"/>
        <v>68</v>
      </c>
      <c r="DM113" s="96">
        <f t="shared" ref="DM113:DR113" si="223">(100*DM100+DM108)*DM101+DM107</f>
        <v>6400</v>
      </c>
      <c r="DN113" s="96">
        <f t="shared" si="223"/>
        <v>1225.0000000000002</v>
      </c>
      <c r="DO113" s="96">
        <f t="shared" si="223"/>
        <v>2310</v>
      </c>
      <c r="DP113" s="96">
        <f t="shared" si="223"/>
        <v>2851</v>
      </c>
      <c r="DQ113" s="3">
        <f t="shared" si="223"/>
        <v>463.99999999999994</v>
      </c>
      <c r="DR113" s="3">
        <f t="shared" si="223"/>
        <v>399</v>
      </c>
    </row>
    <row r="114" spans="3:122" x14ac:dyDescent="0.35">
      <c r="C114" s="94" t="s">
        <v>335</v>
      </c>
      <c r="F114" s="96">
        <f>(100*F104-F108)*F105-F107</f>
        <v>387</v>
      </c>
      <c r="H114" s="96">
        <f>(100*H104-H108)*H105-H107</f>
        <v>387</v>
      </c>
      <c r="I114" s="96">
        <f>(100*I104-I108)*I105-I107</f>
        <v>119</v>
      </c>
      <c r="J114" s="96">
        <f>(100*J104-J108)*J105-J107</f>
        <v>146</v>
      </c>
      <c r="K114" s="96">
        <f t="shared" ref="K114:AK114" si="224">(100*K104-K108)*K105-K107</f>
        <v>535</v>
      </c>
      <c r="L114" s="96">
        <f t="shared" si="224"/>
        <v>630</v>
      </c>
      <c r="M114" s="96">
        <f t="shared" si="224"/>
        <v>300</v>
      </c>
      <c r="N114" s="96">
        <f t="shared" si="224"/>
        <v>300</v>
      </c>
      <c r="O114" s="96">
        <f t="shared" si="224"/>
        <v>6400</v>
      </c>
      <c r="P114" s="96">
        <f t="shared" si="224"/>
        <v>5940</v>
      </c>
      <c r="Q114" s="96">
        <f t="shared" si="224"/>
        <v>11640</v>
      </c>
      <c r="R114" s="96">
        <f t="shared" si="224"/>
        <v>7350</v>
      </c>
      <c r="S114" s="96">
        <f t="shared" si="224"/>
        <v>7845</v>
      </c>
      <c r="T114" s="96">
        <f t="shared" si="224"/>
        <v>270</v>
      </c>
      <c r="U114" s="96">
        <f t="shared" si="224"/>
        <v>620</v>
      </c>
      <c r="V114" s="96">
        <f t="shared" si="224"/>
        <v>600</v>
      </c>
      <c r="W114" s="96">
        <f t="shared" si="224"/>
        <v>260</v>
      </c>
      <c r="X114" s="96">
        <f t="shared" si="224"/>
        <v>710</v>
      </c>
      <c r="Y114" s="96">
        <f t="shared" si="224"/>
        <v>225</v>
      </c>
      <c r="Z114" s="96">
        <f t="shared" si="224"/>
        <v>520</v>
      </c>
      <c r="AA114" s="96">
        <f t="shared" si="224"/>
        <v>172</v>
      </c>
      <c r="AB114" s="96">
        <f t="shared" si="224"/>
        <v>229.99999999999997</v>
      </c>
      <c r="AC114" s="96">
        <f t="shared" si="224"/>
        <v>225</v>
      </c>
      <c r="AD114" s="96">
        <f t="shared" si="224"/>
        <v>225</v>
      </c>
      <c r="AE114" s="96">
        <f t="shared" si="224"/>
        <v>600</v>
      </c>
      <c r="AF114" s="96">
        <f t="shared" si="224"/>
        <v>600</v>
      </c>
      <c r="AG114" s="96">
        <f t="shared" si="224"/>
        <v>409.99999999999994</v>
      </c>
      <c r="AH114" s="96">
        <f t="shared" si="224"/>
        <v>505</v>
      </c>
      <c r="AI114" s="96">
        <f t="shared" si="224"/>
        <v>563</v>
      </c>
      <c r="AJ114" s="96">
        <f t="shared" si="224"/>
        <v>247</v>
      </c>
      <c r="AK114" s="96">
        <f t="shared" si="224"/>
        <v>778</v>
      </c>
      <c r="AL114" s="96">
        <f t="shared" ref="AL114:AV114" si="225">(100*AL104-AL108)*AL105-AL107</f>
        <v>740</v>
      </c>
      <c r="AM114" s="96">
        <f t="shared" si="225"/>
        <v>730</v>
      </c>
      <c r="AN114" s="96">
        <f t="shared" si="225"/>
        <v>780</v>
      </c>
      <c r="AO114" s="96">
        <f t="shared" si="225"/>
        <v>202</v>
      </c>
      <c r="AP114" s="96">
        <f t="shared" si="225"/>
        <v>1170</v>
      </c>
      <c r="AQ114" s="96">
        <f t="shared" si="225"/>
        <v>1160</v>
      </c>
      <c r="AR114" s="96">
        <f t="shared" si="225"/>
        <v>760</v>
      </c>
      <c r="AS114" s="96">
        <f t="shared" si="225"/>
        <v>509.99999999999994</v>
      </c>
      <c r="AT114" s="96">
        <f t="shared" si="225"/>
        <v>700</v>
      </c>
      <c r="AU114" s="96">
        <f t="shared" si="225"/>
        <v>300</v>
      </c>
      <c r="AV114" s="96">
        <f t="shared" si="225"/>
        <v>310</v>
      </c>
      <c r="AW114" s="96">
        <f t="shared" ref="AW114:BB114" si="226">(100*AW104-AW108)*AW105-AW107</f>
        <v>2039.9999999999998</v>
      </c>
      <c r="AX114" s="96">
        <f t="shared" si="226"/>
        <v>1830</v>
      </c>
      <c r="AY114" s="96">
        <f t="shared" si="226"/>
        <v>126</v>
      </c>
      <c r="AZ114" s="96">
        <f t="shared" si="226"/>
        <v>282</v>
      </c>
      <c r="BA114" s="96">
        <f t="shared" si="226"/>
        <v>1680</v>
      </c>
      <c r="BB114" s="96">
        <f t="shared" si="226"/>
        <v>742</v>
      </c>
      <c r="BC114" s="96">
        <f t="shared" ref="BC114:BH114" si="227">(100*BC104-BC108)*BC105-BC107</f>
        <v>230</v>
      </c>
      <c r="BD114" s="96">
        <f t="shared" si="227"/>
        <v>4110</v>
      </c>
      <c r="BE114" s="96">
        <f t="shared" si="227"/>
        <v>1815</v>
      </c>
      <c r="BF114" s="96">
        <f t="shared" si="227"/>
        <v>1909.9999999999998</v>
      </c>
      <c r="BG114" s="96">
        <f t="shared" si="227"/>
        <v>1925</v>
      </c>
      <c r="BH114" s="96">
        <f t="shared" si="227"/>
        <v>1855</v>
      </c>
      <c r="BI114" s="96">
        <f t="shared" ref="BI114:BN114" si="228">(100*BI104-BI108)*BI105-BI107</f>
        <v>9940</v>
      </c>
      <c r="BJ114" s="96">
        <f t="shared" si="228"/>
        <v>6745</v>
      </c>
      <c r="BK114" s="96">
        <f t="shared" si="228"/>
        <v>7495</v>
      </c>
      <c r="BL114" s="96">
        <f t="shared" si="228"/>
        <v>3520</v>
      </c>
      <c r="BM114" s="96">
        <f t="shared" si="228"/>
        <v>3195</v>
      </c>
      <c r="BN114" s="96">
        <f t="shared" si="228"/>
        <v>6144.9999999999991</v>
      </c>
      <c r="BO114" s="96">
        <f t="shared" ref="BO114:BU114" si="229">(100*BO104-BO108)*BO105-BO107</f>
        <v>1465</v>
      </c>
      <c r="BP114" s="96">
        <f t="shared" si="229"/>
        <v>1450</v>
      </c>
      <c r="BQ114" s="96">
        <f t="shared" si="229"/>
        <v>1495</v>
      </c>
      <c r="BR114" s="96">
        <f t="shared" si="229"/>
        <v>2465</v>
      </c>
      <c r="BS114" s="96">
        <f t="shared" si="229"/>
        <v>313</v>
      </c>
      <c r="BT114" s="96">
        <f t="shared" si="229"/>
        <v>2775</v>
      </c>
      <c r="BU114" s="96">
        <f t="shared" si="229"/>
        <v>-5</v>
      </c>
      <c r="BV114" s="96">
        <f t="shared" ref="BV114:CC114" si="230">(100*BV104-BV108)*BV105-BV107</f>
        <v>1633</v>
      </c>
      <c r="BW114" s="96">
        <f t="shared" si="230"/>
        <v>1465</v>
      </c>
      <c r="BX114" s="96">
        <f t="shared" si="230"/>
        <v>7900</v>
      </c>
      <c r="BY114" s="96">
        <f t="shared" si="230"/>
        <v>1019.9999999999998</v>
      </c>
      <c r="BZ114" s="96">
        <f t="shared" si="230"/>
        <v>7295</v>
      </c>
      <c r="CA114" s="96">
        <f t="shared" si="230"/>
        <v>7295</v>
      </c>
      <c r="CB114" s="96">
        <f t="shared" si="230"/>
        <v>1725</v>
      </c>
      <c r="CC114" s="96">
        <f t="shared" si="230"/>
        <v>2235</v>
      </c>
      <c r="CD114" s="96">
        <f t="shared" ref="CD114:CM114" si="231">(100*CD104-CD108)*CD105-CD107</f>
        <v>1440</v>
      </c>
      <c r="CE114" s="96">
        <f t="shared" si="231"/>
        <v>8000</v>
      </c>
      <c r="CF114" s="96">
        <f t="shared" si="231"/>
        <v>480</v>
      </c>
      <c r="CG114" s="96">
        <f t="shared" si="231"/>
        <v>580</v>
      </c>
      <c r="CH114" s="96">
        <f t="shared" si="231"/>
        <v>3870</v>
      </c>
      <c r="CI114" s="96">
        <f t="shared" si="231"/>
        <v>544</v>
      </c>
      <c r="CJ114" s="96">
        <f t="shared" si="231"/>
        <v>44</v>
      </c>
      <c r="CK114" s="96">
        <f t="shared" si="231"/>
        <v>1088</v>
      </c>
      <c r="CL114" s="96">
        <f t="shared" si="231"/>
        <v>1932</v>
      </c>
      <c r="CM114" s="96">
        <f t="shared" si="231"/>
        <v>6820</v>
      </c>
      <c r="CN114" s="96">
        <f t="shared" ref="CN114:CT114" si="232">(100*CN104-CN108)*CN105-CN107</f>
        <v>6820</v>
      </c>
      <c r="CO114" s="96">
        <f t="shared" si="232"/>
        <v>3270</v>
      </c>
      <c r="CP114" s="96">
        <f t="shared" si="232"/>
        <v>5610</v>
      </c>
      <c r="CQ114" s="96">
        <f t="shared" si="232"/>
        <v>6400</v>
      </c>
      <c r="CR114" s="96">
        <f t="shared" si="232"/>
        <v>294</v>
      </c>
      <c r="CS114" s="96">
        <f t="shared" si="232"/>
        <v>294</v>
      </c>
      <c r="CT114" s="96">
        <f t="shared" si="232"/>
        <v>935.00000000000011</v>
      </c>
      <c r="CU114" s="96">
        <f t="shared" ref="CU114:DB114" si="233">(100*CU104-CU108)*CU105-CU107</f>
        <v>15160</v>
      </c>
      <c r="CV114" s="96">
        <f t="shared" si="233"/>
        <v>15250</v>
      </c>
      <c r="CW114" s="96">
        <f t="shared" si="233"/>
        <v>15400.000000000002</v>
      </c>
      <c r="CX114" s="96">
        <f t="shared" si="233"/>
        <v>15840</v>
      </c>
      <c r="CY114" s="96">
        <f t="shared" si="233"/>
        <v>15650</v>
      </c>
      <c r="CZ114" s="96">
        <f t="shared" si="233"/>
        <v>10580</v>
      </c>
      <c r="DA114" s="96">
        <f t="shared" si="233"/>
        <v>16000</v>
      </c>
      <c r="DB114" s="96">
        <f t="shared" si="233"/>
        <v>18700</v>
      </c>
      <c r="DC114" s="96">
        <f>(100*DC104-DC108)*DC105-DC107</f>
        <v>7080</v>
      </c>
      <c r="DD114" s="96">
        <f>(100*DD104-DD108)*DD105-DD107</f>
        <v>9490</v>
      </c>
      <c r="DE114" s="96">
        <f>(100*DE104-DE108)*DE105-DE107</f>
        <v>342</v>
      </c>
      <c r="DF114" s="96">
        <f t="shared" ref="DF114:DL114" si="234">(100*DF104-DF108)*DF105-DF107</f>
        <v>1060</v>
      </c>
      <c r="DG114" s="96">
        <f t="shared" si="234"/>
        <v>12050</v>
      </c>
      <c r="DH114" s="96">
        <f t="shared" si="234"/>
        <v>700</v>
      </c>
      <c r="DI114" s="96">
        <f t="shared" si="234"/>
        <v>432</v>
      </c>
      <c r="DJ114" s="96">
        <f t="shared" si="234"/>
        <v>21060</v>
      </c>
      <c r="DK114" s="96">
        <f t="shared" si="234"/>
        <v>125</v>
      </c>
      <c r="DL114" s="96">
        <f t="shared" si="234"/>
        <v>80</v>
      </c>
      <c r="DM114" s="96">
        <f t="shared" ref="DM114:DR114" si="235">(100*DM104-DM108)*DM105-DM107</f>
        <v>7050</v>
      </c>
      <c r="DN114" s="96">
        <f t="shared" si="235"/>
        <v>1420</v>
      </c>
      <c r="DO114" s="96">
        <f t="shared" si="235"/>
        <v>96</v>
      </c>
      <c r="DP114" s="96">
        <f t="shared" si="235"/>
        <v>3124</v>
      </c>
      <c r="DQ114" s="3">
        <f t="shared" si="235"/>
        <v>600.25</v>
      </c>
      <c r="DR114" s="3">
        <f t="shared" si="235"/>
        <v>480</v>
      </c>
    </row>
    <row r="115" spans="3:122" x14ac:dyDescent="0.35">
      <c r="C115" s="94" t="s">
        <v>248</v>
      </c>
      <c r="F115" s="96">
        <f>F114-F113</f>
        <v>51</v>
      </c>
      <c r="H115" s="96">
        <f>H114-H113</f>
        <v>51</v>
      </c>
      <c r="I115" s="96">
        <f>I114-I113</f>
        <v>62.000000000000007</v>
      </c>
      <c r="J115" s="96">
        <f>J114-J113</f>
        <v>28</v>
      </c>
      <c r="K115" s="96">
        <f t="shared" ref="K115:AK115" si="236">K114-K113</f>
        <v>44.999999999999943</v>
      </c>
      <c r="L115" s="96">
        <f t="shared" si="236"/>
        <v>60</v>
      </c>
      <c r="M115" s="96">
        <f t="shared" si="236"/>
        <v>-130</v>
      </c>
      <c r="N115" s="96">
        <f t="shared" si="236"/>
        <v>-130</v>
      </c>
      <c r="O115" s="96">
        <f t="shared" si="236"/>
        <v>775</v>
      </c>
      <c r="P115" s="96">
        <f t="shared" si="236"/>
        <v>590.00000000000091</v>
      </c>
      <c r="Q115" s="96">
        <f t="shared" si="236"/>
        <v>769.99999999999818</v>
      </c>
      <c r="R115" s="96">
        <f t="shared" si="236"/>
        <v>225</v>
      </c>
      <c r="S115" s="96">
        <f t="shared" si="236"/>
        <v>-3025.0000000000018</v>
      </c>
      <c r="T115" s="96">
        <f t="shared" si="236"/>
        <v>-5</v>
      </c>
      <c r="U115" s="96">
        <f t="shared" si="236"/>
        <v>-16</v>
      </c>
      <c r="V115" s="96">
        <f t="shared" si="236"/>
        <v>90.000000000000057</v>
      </c>
      <c r="W115" s="96">
        <f t="shared" si="236"/>
        <v>6</v>
      </c>
      <c r="X115" s="96">
        <f t="shared" si="236"/>
        <v>200.00000000000006</v>
      </c>
      <c r="Y115" s="96">
        <f t="shared" si="236"/>
        <v>114.99999999999999</v>
      </c>
      <c r="Z115" s="96">
        <f t="shared" si="236"/>
        <v>25</v>
      </c>
      <c r="AA115" s="96">
        <f t="shared" si="236"/>
        <v>20</v>
      </c>
      <c r="AB115" s="96">
        <f t="shared" si="236"/>
        <v>67.999999999999972</v>
      </c>
      <c r="AC115" s="96">
        <f t="shared" si="236"/>
        <v>114.99999999999999</v>
      </c>
      <c r="AD115" s="96">
        <f t="shared" si="236"/>
        <v>35</v>
      </c>
      <c r="AE115" s="96">
        <f t="shared" si="236"/>
        <v>0</v>
      </c>
      <c r="AF115" s="96">
        <f t="shared" si="236"/>
        <v>0</v>
      </c>
      <c r="AG115" s="96">
        <f t="shared" si="236"/>
        <v>159.99999999999994</v>
      </c>
      <c r="AH115" s="96">
        <f t="shared" si="236"/>
        <v>139</v>
      </c>
      <c r="AI115" s="96">
        <f t="shared" si="236"/>
        <v>46</v>
      </c>
      <c r="AJ115" s="96">
        <f t="shared" si="236"/>
        <v>-270</v>
      </c>
      <c r="AK115" s="96">
        <f t="shared" si="236"/>
        <v>261</v>
      </c>
      <c r="AL115" s="96">
        <f t="shared" ref="AL115:AV115" si="237">AL114-AL113</f>
        <v>240</v>
      </c>
      <c r="AM115" s="96">
        <f t="shared" si="237"/>
        <v>130</v>
      </c>
      <c r="AN115" s="96">
        <f t="shared" si="237"/>
        <v>180</v>
      </c>
      <c r="AO115" s="96">
        <f t="shared" si="237"/>
        <v>62</v>
      </c>
      <c r="AP115" s="96">
        <f t="shared" si="237"/>
        <v>205</v>
      </c>
      <c r="AQ115" s="96">
        <f t="shared" si="237"/>
        <v>198.00000000000011</v>
      </c>
      <c r="AR115" s="96">
        <f t="shared" si="237"/>
        <v>130</v>
      </c>
      <c r="AS115" s="96">
        <f t="shared" si="237"/>
        <v>17.999999999999943</v>
      </c>
      <c r="AT115" s="96">
        <f t="shared" si="237"/>
        <v>98</v>
      </c>
      <c r="AU115" s="96">
        <f t="shared" si="237"/>
        <v>60</v>
      </c>
      <c r="AV115" s="96">
        <f t="shared" si="237"/>
        <v>110</v>
      </c>
      <c r="AW115" s="96">
        <f t="shared" ref="AW115:BB115" si="238">AW114-AW113</f>
        <v>339.99999999999977</v>
      </c>
      <c r="AX115" s="96">
        <f t="shared" si="238"/>
        <v>205</v>
      </c>
      <c r="AY115" s="96">
        <f t="shared" si="238"/>
        <v>10.000000000000014</v>
      </c>
      <c r="AZ115" s="96">
        <f t="shared" si="238"/>
        <v>6</v>
      </c>
      <c r="BA115" s="96">
        <f t="shared" si="238"/>
        <v>270</v>
      </c>
      <c r="BB115" s="96">
        <f t="shared" si="238"/>
        <v>62</v>
      </c>
      <c r="BC115" s="96">
        <f t="shared" ref="BC115:BH115" si="239">BC114-BC113</f>
        <v>220</v>
      </c>
      <c r="BD115" s="96">
        <f t="shared" si="239"/>
        <v>180</v>
      </c>
      <c r="BE115" s="96">
        <f t="shared" si="239"/>
        <v>10</v>
      </c>
      <c r="BF115" s="96">
        <f t="shared" si="239"/>
        <v>104.99999999999977</v>
      </c>
      <c r="BG115" s="96">
        <f t="shared" si="239"/>
        <v>120</v>
      </c>
      <c r="BH115" s="96">
        <f t="shared" si="239"/>
        <v>370</v>
      </c>
      <c r="BI115" s="96">
        <f t="shared" ref="BI115:BN115" si="240">BI114-BI113</f>
        <v>245.00000000000182</v>
      </c>
      <c r="BJ115" s="96">
        <f t="shared" si="240"/>
        <v>1610.0000000000009</v>
      </c>
      <c r="BK115" s="96">
        <f t="shared" si="240"/>
        <v>-1945.0000000000018</v>
      </c>
      <c r="BL115" s="96">
        <f t="shared" si="240"/>
        <v>455</v>
      </c>
      <c r="BM115" s="96">
        <f t="shared" si="240"/>
        <v>45</v>
      </c>
      <c r="BN115" s="96">
        <f t="shared" si="240"/>
        <v>964.99999999999909</v>
      </c>
      <c r="BO115" s="96">
        <f t="shared" ref="BO115:BU115" si="241">BO114-BO113</f>
        <v>15</v>
      </c>
      <c r="BP115" s="96">
        <f t="shared" si="241"/>
        <v>0</v>
      </c>
      <c r="BQ115" s="96">
        <f t="shared" si="241"/>
        <v>45</v>
      </c>
      <c r="BR115" s="96">
        <f t="shared" si="241"/>
        <v>-4.9999999999995453</v>
      </c>
      <c r="BS115" s="96">
        <f t="shared" si="241"/>
        <v>11</v>
      </c>
      <c r="BT115" s="96">
        <f t="shared" si="241"/>
        <v>430</v>
      </c>
      <c r="BU115" s="96">
        <f t="shared" si="241"/>
        <v>-85</v>
      </c>
      <c r="BV115" s="96">
        <f t="shared" ref="BV115:CB115" si="242">BV114-BV113</f>
        <v>606</v>
      </c>
      <c r="BW115" s="96">
        <f t="shared" si="242"/>
        <v>662.00000000000011</v>
      </c>
      <c r="BX115" s="96">
        <f t="shared" si="242"/>
        <v>245</v>
      </c>
      <c r="BY115" s="96">
        <f t="shared" si="242"/>
        <v>627.99999999999977</v>
      </c>
      <c r="BZ115" s="96">
        <f t="shared" si="242"/>
        <v>-420</v>
      </c>
      <c r="CA115" s="96">
        <f t="shared" si="242"/>
        <v>90</v>
      </c>
      <c r="CB115" s="96">
        <f t="shared" si="242"/>
        <v>-80</v>
      </c>
      <c r="CC115" s="96">
        <f t="shared" ref="CC115:CL115" si="243">CC114-CC113</f>
        <v>466</v>
      </c>
      <c r="CD115" s="96">
        <f t="shared" si="243"/>
        <v>360</v>
      </c>
      <c r="CE115" s="96">
        <f t="shared" si="243"/>
        <v>-1949.9999999999982</v>
      </c>
      <c r="CF115" s="96">
        <f t="shared" si="243"/>
        <v>60</v>
      </c>
      <c r="CG115" s="96">
        <f t="shared" si="243"/>
        <v>160</v>
      </c>
      <c r="CH115" s="96">
        <f t="shared" si="243"/>
        <v>270</v>
      </c>
      <c r="CI115" s="96">
        <f t="shared" si="243"/>
        <v>187</v>
      </c>
      <c r="CJ115" s="96">
        <f t="shared" si="243"/>
        <v>10</v>
      </c>
      <c r="CK115" s="96">
        <f t="shared" si="243"/>
        <v>272</v>
      </c>
      <c r="CL115" s="96">
        <f t="shared" si="243"/>
        <v>-84</v>
      </c>
      <c r="CM115" s="96">
        <f t="shared" ref="CM115:CT115" si="244">CM114-CM113</f>
        <v>2563</v>
      </c>
      <c r="CN115" s="96">
        <f t="shared" si="244"/>
        <v>3700</v>
      </c>
      <c r="CO115" s="96">
        <f t="shared" si="244"/>
        <v>150</v>
      </c>
      <c r="CP115" s="96">
        <f t="shared" si="244"/>
        <v>1353</v>
      </c>
      <c r="CQ115" s="96">
        <f t="shared" si="244"/>
        <v>5441</v>
      </c>
      <c r="CR115" s="96">
        <f t="shared" si="244"/>
        <v>-13962</v>
      </c>
      <c r="CS115" s="96">
        <f t="shared" si="244"/>
        <v>102</v>
      </c>
      <c r="CT115" s="96">
        <f t="shared" si="244"/>
        <v>255.00000000000011</v>
      </c>
      <c r="CU115" s="96">
        <f t="shared" ref="CU115:DB115" si="245">CU114-CU113</f>
        <v>-240</v>
      </c>
      <c r="CV115" s="96">
        <f t="shared" si="245"/>
        <v>-150</v>
      </c>
      <c r="CW115" s="96">
        <f t="shared" si="245"/>
        <v>0</v>
      </c>
      <c r="CX115" s="96">
        <f t="shared" si="245"/>
        <v>440</v>
      </c>
      <c r="CY115" s="96">
        <f t="shared" si="245"/>
        <v>250</v>
      </c>
      <c r="CZ115" s="96">
        <f t="shared" si="245"/>
        <v>-4820</v>
      </c>
      <c r="DA115" s="96">
        <f t="shared" si="245"/>
        <v>600</v>
      </c>
      <c r="DB115" s="96">
        <f t="shared" si="245"/>
        <v>3300</v>
      </c>
      <c r="DC115" s="96">
        <f>DC114-DC113</f>
        <v>-8320</v>
      </c>
      <c r="DD115" s="96">
        <f>DD114-DD113</f>
        <v>-5910</v>
      </c>
      <c r="DE115" s="96">
        <f>DE114-DE113</f>
        <v>76</v>
      </c>
      <c r="DF115" s="96">
        <f t="shared" ref="DF115:DL115" si="246">DF114-DF113</f>
        <v>50</v>
      </c>
      <c r="DG115" s="96">
        <f t="shared" si="246"/>
        <v>-100</v>
      </c>
      <c r="DH115" s="96">
        <f t="shared" si="246"/>
        <v>124</v>
      </c>
      <c r="DI115" s="96">
        <f t="shared" si="246"/>
        <v>60</v>
      </c>
      <c r="DJ115" s="96">
        <f t="shared" si="246"/>
        <v>116</v>
      </c>
      <c r="DK115" s="96">
        <f t="shared" si="246"/>
        <v>93</v>
      </c>
      <c r="DL115" s="96">
        <f t="shared" si="246"/>
        <v>12</v>
      </c>
      <c r="DM115" s="96">
        <f t="shared" ref="DM115:DR115" si="247">DM114-DM113</f>
        <v>650</v>
      </c>
      <c r="DN115" s="96">
        <f t="shared" si="247"/>
        <v>194.99999999999977</v>
      </c>
      <c r="DO115" s="96">
        <f t="shared" si="247"/>
        <v>-2214</v>
      </c>
      <c r="DP115" s="96">
        <f t="shared" si="247"/>
        <v>273</v>
      </c>
      <c r="DQ115" s="3">
        <f t="shared" si="247"/>
        <v>136.25000000000006</v>
      </c>
      <c r="DR115" s="3">
        <f t="shared" si="247"/>
        <v>81</v>
      </c>
    </row>
    <row r="116" spans="3:122" x14ac:dyDescent="0.35">
      <c r="C116" s="94" t="s">
        <v>319</v>
      </c>
      <c r="F116" s="98">
        <f>F115/F112*(50/F109)</f>
        <v>0.41463414634146345</v>
      </c>
      <c r="H116" s="98">
        <f>H115/H112*(50/H109)</f>
        <v>0.41463414634146345</v>
      </c>
      <c r="I116" s="98">
        <f>I115/I112*(50/I109)</f>
        <v>0.29807692307692313</v>
      </c>
      <c r="J116" s="98">
        <f>J115/J112*(50/J109)</f>
        <v>0.13207547169811321</v>
      </c>
      <c r="K116" s="98">
        <f t="shared" ref="K116:AK116" si="248">K115/K112*(50/K109)</f>
        <v>4.8913043478260809E-2</v>
      </c>
      <c r="L116" s="98">
        <f t="shared" si="248"/>
        <v>5.434782608695652E-2</v>
      </c>
      <c r="M116" s="98">
        <f t="shared" si="248"/>
        <v>-0.17567567567567569</v>
      </c>
      <c r="N116" s="98">
        <f t="shared" si="248"/>
        <v>-0.17567567567567569</v>
      </c>
      <c r="O116" s="98">
        <f t="shared" si="248"/>
        <v>1.374113475177305E-2</v>
      </c>
      <c r="P116" s="98">
        <f t="shared" si="248"/>
        <v>1.8075980392156892E-2</v>
      </c>
      <c r="Q116" s="98">
        <f t="shared" si="248"/>
        <v>1.1795343137254874E-2</v>
      </c>
      <c r="R116" s="98">
        <f t="shared" si="248"/>
        <v>5.5147058823529415E-3</v>
      </c>
      <c r="S116" s="98">
        <f t="shared" si="248"/>
        <v>-4.6338848039215716E-2</v>
      </c>
      <c r="T116" s="98">
        <f t="shared" si="248"/>
        <v>-1.1904761904761906E-2</v>
      </c>
      <c r="U116" s="98">
        <f t="shared" si="248"/>
        <v>-3.3613445378151259E-2</v>
      </c>
      <c r="V116" s="98">
        <f t="shared" si="248"/>
        <v>5.3254437869822521E-2</v>
      </c>
      <c r="W116" s="98">
        <f t="shared" si="248"/>
        <v>1.0204081632653062E-2</v>
      </c>
      <c r="X116" s="98">
        <f t="shared" si="248"/>
        <v>4.210526315789475E-2</v>
      </c>
      <c r="Y116" s="98">
        <f t="shared" si="248"/>
        <v>0.19759450171821302</v>
      </c>
      <c r="Z116" s="98">
        <f t="shared" si="248"/>
        <v>5.5309734513274339E-2</v>
      </c>
      <c r="AA116" s="98">
        <f t="shared" si="248"/>
        <v>0.10416666666666667</v>
      </c>
      <c r="AB116" s="98">
        <f t="shared" si="248"/>
        <v>0.11333333333333329</v>
      </c>
      <c r="AC116" s="98">
        <f t="shared" si="248"/>
        <v>0.19759450171821302</v>
      </c>
      <c r="AD116" s="98">
        <f t="shared" si="248"/>
        <v>5.8333333333333341E-2</v>
      </c>
      <c r="AE116" s="98">
        <f t="shared" si="248"/>
        <v>0</v>
      </c>
      <c r="AF116" s="98">
        <f t="shared" si="248"/>
        <v>0</v>
      </c>
      <c r="AG116" s="98">
        <f t="shared" si="248"/>
        <v>0.1203007518796992</v>
      </c>
      <c r="AH116" s="98">
        <f t="shared" si="248"/>
        <v>9.9285714285714283E-2</v>
      </c>
      <c r="AI116" s="98">
        <f t="shared" si="248"/>
        <v>3.685897435897436E-2</v>
      </c>
      <c r="AJ116" s="98">
        <f t="shared" si="248"/>
        <v>-0.45918367346938782</v>
      </c>
      <c r="AK116" s="98">
        <f t="shared" si="248"/>
        <v>0.15263157894736842</v>
      </c>
      <c r="AL116" s="98">
        <f t="shared" ref="AL116:AV116" si="249">AL115/AL112*(50/AL109)</f>
        <v>5.3333333333333337E-2</v>
      </c>
      <c r="AM116" s="98">
        <f t="shared" si="249"/>
        <v>2.1666666666666667E-2</v>
      </c>
      <c r="AN116" s="98">
        <f t="shared" si="249"/>
        <v>0.04</v>
      </c>
      <c r="AO116" s="98">
        <f t="shared" si="249"/>
        <v>9.7484276729559755E-2</v>
      </c>
      <c r="AP116" s="98">
        <f t="shared" si="249"/>
        <v>3.2539682539682542E-2</v>
      </c>
      <c r="AQ116" s="98">
        <f t="shared" si="249"/>
        <v>3.1428571428571445E-2</v>
      </c>
      <c r="AR116" s="98">
        <f t="shared" si="249"/>
        <v>3.6111111111111108E-2</v>
      </c>
      <c r="AS116" s="98">
        <f t="shared" si="249"/>
        <v>9.278350515463888E-3</v>
      </c>
      <c r="AT116" s="98">
        <f t="shared" si="249"/>
        <v>4.9000000000000002E-2</v>
      </c>
      <c r="AU116" s="98">
        <f t="shared" si="249"/>
        <v>0.15</v>
      </c>
      <c r="AV116" s="98">
        <f t="shared" si="249"/>
        <v>0.18965517241379309</v>
      </c>
      <c r="AW116" s="98">
        <f t="shared" ref="AW116:BB116" si="250">AW115/AW112*(50/AW109)</f>
        <v>3.5416666666666645E-2</v>
      </c>
      <c r="AX116" s="98">
        <f t="shared" si="250"/>
        <v>1.4236111111111113E-2</v>
      </c>
      <c r="AY116" s="98">
        <f t="shared" si="250"/>
        <v>2.2727272727272759E-2</v>
      </c>
      <c r="AZ116" s="98">
        <f t="shared" si="250"/>
        <v>1.6666666666666666E-2</v>
      </c>
      <c r="BA116" s="98">
        <f t="shared" si="250"/>
        <v>2.1093750000000001E-2</v>
      </c>
      <c r="BB116" s="98">
        <f t="shared" si="250"/>
        <v>7.9487179487179496E-2</v>
      </c>
      <c r="BC116" s="98">
        <f t="shared" ref="BC116:BH116" si="251">BC115/BC112*(50/BC109)</f>
        <v>0.17741935483870969</v>
      </c>
      <c r="BD116" s="98">
        <f t="shared" si="251"/>
        <v>7.352941176470589E-3</v>
      </c>
      <c r="BE116" s="98">
        <f t="shared" si="251"/>
        <v>7.0921985815602835E-3</v>
      </c>
      <c r="BF116" s="98">
        <f t="shared" si="251"/>
        <v>-9.0517241379310144E-3</v>
      </c>
      <c r="BG116" s="98">
        <f t="shared" si="251"/>
        <v>-1.0067114093959731E-2</v>
      </c>
      <c r="BH116" s="98">
        <f t="shared" si="251"/>
        <v>0.14015151515151514</v>
      </c>
      <c r="BI116" s="98">
        <f t="shared" ref="BI116:BN116" si="252">BI115/BI112*(50/BI109)</f>
        <v>1.1437908496732112E-2</v>
      </c>
      <c r="BJ116" s="98">
        <f t="shared" si="252"/>
        <v>7.3921028466483046E-2</v>
      </c>
      <c r="BK116" s="98">
        <f t="shared" si="252"/>
        <v>-9.8232323232323324E-2</v>
      </c>
      <c r="BL116" s="98">
        <f t="shared" si="252"/>
        <v>2.5277777777777777E-2</v>
      </c>
      <c r="BM116" s="98">
        <f t="shared" si="252"/>
        <v>3.5601265822784813E-3</v>
      </c>
      <c r="BN116" s="98">
        <f t="shared" si="252"/>
        <v>2.5428194993412364E-2</v>
      </c>
      <c r="BO116" s="98">
        <f t="shared" ref="BO116:BU116" si="253">BO115/BO112*(50/BO109)</f>
        <v>9.5541401273885346E-3</v>
      </c>
      <c r="BP116" s="98">
        <f t="shared" si="253"/>
        <v>0</v>
      </c>
      <c r="BQ116" s="98">
        <f t="shared" si="253"/>
        <v>2.5000000000000001E-2</v>
      </c>
      <c r="BR116" s="98">
        <f t="shared" si="253"/>
        <v>-3.1055900621115187E-3</v>
      </c>
      <c r="BS116" s="98">
        <f t="shared" si="253"/>
        <v>1.2731481481481483E-2</v>
      </c>
      <c r="BT116" s="98">
        <f t="shared" si="253"/>
        <v>6.5548780487804881E-2</v>
      </c>
      <c r="BU116" s="98" t="e">
        <f t="shared" si="253"/>
        <v>#DIV/0!</v>
      </c>
      <c r="BV116" s="98">
        <f t="shared" ref="BV116:CB116" si="254">BV115/BV112*(50/BV109)</f>
        <v>7.6207243460764587E-2</v>
      </c>
      <c r="BW116" s="98">
        <f t="shared" si="254"/>
        <v>8.3249496981891352E-2</v>
      </c>
      <c r="BX116" s="98">
        <f t="shared" si="254"/>
        <v>0.1540880503144654</v>
      </c>
      <c r="BY116" s="98">
        <f t="shared" si="254"/>
        <v>1.2559999999999996</v>
      </c>
      <c r="BZ116" s="98">
        <f t="shared" si="254"/>
        <v>-6.5625000000000003E-2</v>
      </c>
      <c r="CA116" s="98">
        <f t="shared" si="254"/>
        <v>2.5000000000000001E-2</v>
      </c>
      <c r="CB116" s="98">
        <f t="shared" si="254"/>
        <v>-3.875968992248062E-2</v>
      </c>
      <c r="CC116" s="98">
        <f t="shared" ref="CC116:CL116" si="255">CC115/CC112*(50/CC109)</f>
        <v>5.2008928571428574E-2</v>
      </c>
      <c r="CD116" s="98">
        <f t="shared" si="255"/>
        <v>4.7619047619047623E-2</v>
      </c>
      <c r="CE116" s="98">
        <f t="shared" si="255"/>
        <v>-0.97499999999999909</v>
      </c>
      <c r="CF116" s="98">
        <f t="shared" si="255"/>
        <v>7.8125E-2</v>
      </c>
      <c r="CG116" s="98">
        <f t="shared" si="255"/>
        <v>6.9264069264069264E-2</v>
      </c>
      <c r="CH116" s="98">
        <f t="shared" si="255"/>
        <v>3.4090909090909095E-2</v>
      </c>
      <c r="CI116" s="98">
        <f t="shared" si="255"/>
        <v>9.1666666666666674E-2</v>
      </c>
      <c r="CJ116" s="98">
        <f t="shared" si="255"/>
        <v>3.3783783783783786E-2</v>
      </c>
      <c r="CK116" s="98">
        <f t="shared" si="255"/>
        <v>8.3333333333333343E-2</v>
      </c>
      <c r="CL116" s="98">
        <f t="shared" si="255"/>
        <v>-2.9166666666666671E-2</v>
      </c>
      <c r="CM116" s="98">
        <f t="shared" ref="CM116:CT116" si="256">CM115/CM112*(50/CM109)</f>
        <v>0.15477053140096619</v>
      </c>
      <c r="CN116" s="98">
        <f t="shared" si="256"/>
        <v>0.22342995169082128</v>
      </c>
      <c r="CO116" s="98">
        <f t="shared" si="256"/>
        <v>1.8115942028985508E-2</v>
      </c>
      <c r="CP116" s="98">
        <f t="shared" si="256"/>
        <v>0.12255434782608697</v>
      </c>
      <c r="CQ116" s="98">
        <f t="shared" si="256"/>
        <v>0.35423177083333335</v>
      </c>
      <c r="CR116" s="98">
        <f t="shared" si="256"/>
        <v>-116.35</v>
      </c>
      <c r="CS116" s="98">
        <f t="shared" si="256"/>
        <v>0.28333333333333338</v>
      </c>
      <c r="CT116" s="98">
        <f t="shared" si="256"/>
        <v>7.8125000000000042E-2</v>
      </c>
      <c r="CU116" s="98">
        <f t="shared" ref="CU116:DB116" si="257">CU115/CU112*(50/CU109)</f>
        <v>-3.8400000000000001E-3</v>
      </c>
      <c r="CV116" s="98">
        <f t="shared" si="257"/>
        <v>-2.5000000000000001E-3</v>
      </c>
      <c r="CW116" s="98">
        <f t="shared" si="257"/>
        <v>0</v>
      </c>
      <c r="CX116" s="98">
        <f t="shared" si="257"/>
        <v>0.1851851851851852</v>
      </c>
      <c r="CY116" s="98">
        <f t="shared" si="257"/>
        <v>9.2592592592592601E-2</v>
      </c>
      <c r="CZ116" s="98">
        <f t="shared" si="257"/>
        <v>-2.3173076923076925</v>
      </c>
      <c r="DA116" s="98">
        <f t="shared" si="257"/>
        <v>1.9199999999999998E-2</v>
      </c>
      <c r="DB116" s="98">
        <f t="shared" si="257"/>
        <v>5.5E-2</v>
      </c>
      <c r="DC116" s="98">
        <f>DC115/DC112*(50/DC109)</f>
        <v>-3.4666666666666663</v>
      </c>
      <c r="DD116" s="98">
        <f>DD115/DD112*(50/DD109)</f>
        <v>-0.11365384615384615</v>
      </c>
      <c r="DE116" s="98">
        <f>DE115/DE112*(50/DE109)</f>
        <v>0.15322580645161291</v>
      </c>
      <c r="DF116" s="98">
        <f t="shared" ref="DF116:DL116" si="258">DF115/DF112*(50/DF109)</f>
        <v>4.2372881355932202E-2</v>
      </c>
      <c r="DG116" s="98">
        <f t="shared" si="258"/>
        <v>-7.3529411764705885E-2</v>
      </c>
      <c r="DH116" s="98">
        <f t="shared" si="258"/>
        <v>0.10420168067226891</v>
      </c>
      <c r="DI116" s="98">
        <f t="shared" si="258"/>
        <v>-4.7619047619047616E-2</v>
      </c>
      <c r="DJ116" s="98">
        <f t="shared" si="258"/>
        <v>5.2727272727272727E-2</v>
      </c>
      <c r="DK116" s="98">
        <f t="shared" si="258"/>
        <v>0.22142857142857142</v>
      </c>
      <c r="DL116" s="98">
        <f t="shared" si="258"/>
        <v>2.8846153846153848E-2</v>
      </c>
      <c r="DM116" s="98">
        <f t="shared" ref="DM116:DR116" si="259">DM115/DM112*(50/DM109)</f>
        <v>2.3214285714285715E-2</v>
      </c>
      <c r="DN116" s="98">
        <f t="shared" si="259"/>
        <v>1.8352941176470568E-2</v>
      </c>
      <c r="DO116" s="98">
        <f t="shared" si="259"/>
        <v>-7.3800000000000008</v>
      </c>
      <c r="DP116" s="98">
        <f t="shared" si="259"/>
        <v>2.4818181818181819E-2</v>
      </c>
      <c r="DQ116" s="8">
        <f t="shared" si="259"/>
        <v>2.3853291316526623E-2</v>
      </c>
      <c r="DR116" s="8">
        <f t="shared" si="259"/>
        <v>0.14516129032258066</v>
      </c>
    </row>
  </sheetData>
  <mergeCells count="2">
    <mergeCell ref="B45:B51"/>
    <mergeCell ref="B20:B27"/>
  </mergeCells>
  <hyperlinks>
    <hyperlink ref="D11" r:id="rId1" xr:uid="{00000000-0004-0000-0300-000000000000}"/>
  </hyperlinks>
  <pageMargins left="0.7" right="0.7" top="0.75" bottom="0.75" header="0.3" footer="0.3"/>
  <pageSetup orientation="portrait" horizontalDpi="1200" verticalDpi="1200"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95"/>
  <sheetViews>
    <sheetView topLeftCell="A37" workbookViewId="0">
      <selection activeCell="C49" sqref="C49"/>
    </sheetView>
  </sheetViews>
  <sheetFormatPr defaultRowHeight="14.5" x14ac:dyDescent="0.35"/>
  <cols>
    <col min="1" max="1" width="22.1796875" bestFit="1" customWidth="1"/>
    <col min="2" max="2" width="12" customWidth="1"/>
    <col min="3" max="3" width="30" style="160" customWidth="1"/>
    <col min="4" max="4" width="12.453125" style="6" customWidth="1"/>
    <col min="5" max="5" width="30" style="6" customWidth="1"/>
    <col min="6" max="6" width="30" style="160" customWidth="1"/>
    <col min="7" max="7" width="30.7265625" style="6" customWidth="1"/>
    <col min="8" max="8" width="38.26953125" style="190" customWidth="1"/>
  </cols>
  <sheetData>
    <row r="1" spans="1:8" x14ac:dyDescent="0.35">
      <c r="B1" t="s">
        <v>420</v>
      </c>
      <c r="C1" s="217" t="s">
        <v>419</v>
      </c>
      <c r="F1" s="160" t="s">
        <v>684</v>
      </c>
    </row>
    <row r="2" spans="1:8" x14ac:dyDescent="0.35">
      <c r="B2" t="s">
        <v>619</v>
      </c>
      <c r="C2" s="217" t="s">
        <v>618</v>
      </c>
    </row>
    <row r="3" spans="1:8" x14ac:dyDescent="0.35">
      <c r="B3" t="s">
        <v>612</v>
      </c>
      <c r="C3" s="252" t="s">
        <v>641</v>
      </c>
      <c r="F3" s="253" t="s">
        <v>639</v>
      </c>
    </row>
    <row r="4" spans="1:8" ht="18.5" x14ac:dyDescent="0.45">
      <c r="A4" t="s">
        <v>409</v>
      </c>
      <c r="B4" s="187" t="s">
        <v>378</v>
      </c>
      <c r="C4" s="161" t="s">
        <v>375</v>
      </c>
      <c r="D4" s="162" t="s">
        <v>376</v>
      </c>
      <c r="E4" s="162" t="s">
        <v>377</v>
      </c>
      <c r="F4" s="161" t="s">
        <v>94</v>
      </c>
      <c r="G4" s="162" t="s">
        <v>379</v>
      </c>
      <c r="H4" s="279" t="s">
        <v>691</v>
      </c>
    </row>
    <row r="5" spans="1:8" x14ac:dyDescent="0.35">
      <c r="A5" t="s">
        <v>408</v>
      </c>
      <c r="B5" s="163" t="s">
        <v>184</v>
      </c>
      <c r="C5" s="160">
        <v>42942</v>
      </c>
      <c r="D5" s="6">
        <f>WEEKNUM(C5)</f>
        <v>30</v>
      </c>
      <c r="E5" s="6">
        <f ca="1">C5-TODAY()</f>
        <v>-82</v>
      </c>
      <c r="F5" s="160">
        <v>42830</v>
      </c>
      <c r="G5" s="6">
        <f ca="1">IF(LEN(F5)=0,"",F5-TODAY())</f>
        <v>-194</v>
      </c>
      <c r="H5" s="160">
        <f t="shared" ref="H5:H36" si="0">C5+90</f>
        <v>43032</v>
      </c>
    </row>
    <row r="6" spans="1:8" x14ac:dyDescent="0.35">
      <c r="A6" t="s">
        <v>408</v>
      </c>
      <c r="B6" s="194" t="s">
        <v>689</v>
      </c>
      <c r="C6" s="160">
        <v>43013</v>
      </c>
      <c r="D6" s="6">
        <f>WEEKNUM(C6)</f>
        <v>40</v>
      </c>
      <c r="E6" s="6">
        <f ca="1">C6-TODAY()</f>
        <v>-11</v>
      </c>
      <c r="H6" s="160">
        <f t="shared" si="0"/>
        <v>43103</v>
      </c>
    </row>
    <row r="7" spans="1:8" x14ac:dyDescent="0.35">
      <c r="A7" t="s">
        <v>408</v>
      </c>
      <c r="B7" s="194" t="s">
        <v>621</v>
      </c>
      <c r="C7" s="160">
        <v>43013</v>
      </c>
      <c r="D7" s="6">
        <f>WEEKNUM(C7)</f>
        <v>40</v>
      </c>
      <c r="E7" s="6">
        <f ca="1">C7-TODAY()</f>
        <v>-11</v>
      </c>
      <c r="H7" s="160">
        <f t="shared" si="0"/>
        <v>43103</v>
      </c>
    </row>
    <row r="8" spans="1:8" x14ac:dyDescent="0.35">
      <c r="A8" t="s">
        <v>407</v>
      </c>
      <c r="B8" t="s">
        <v>367</v>
      </c>
      <c r="C8" s="160">
        <v>43020</v>
      </c>
      <c r="D8" s="6">
        <f>WEEKNUM(C8)</f>
        <v>41</v>
      </c>
      <c r="E8" s="6">
        <f ca="1">C8-TODAY()</f>
        <v>-4</v>
      </c>
      <c r="F8" s="160">
        <v>42856</v>
      </c>
      <c r="G8" s="6">
        <f ca="1">IF(LEN(F8)=0,"",F8-TODAY())</f>
        <v>-168</v>
      </c>
      <c r="H8" s="160">
        <f t="shared" si="0"/>
        <v>43110</v>
      </c>
    </row>
    <row r="9" spans="1:8" x14ac:dyDescent="0.35">
      <c r="A9" t="s">
        <v>407</v>
      </c>
      <c r="B9" s="194" t="s">
        <v>403</v>
      </c>
      <c r="C9" s="160">
        <v>43020</v>
      </c>
      <c r="D9" s="6">
        <f>WEEKNUM(C9)</f>
        <v>41</v>
      </c>
      <c r="E9" s="6">
        <f ca="1">C9-TODAY()</f>
        <v>-4</v>
      </c>
      <c r="H9" s="160">
        <f t="shared" si="0"/>
        <v>43110</v>
      </c>
    </row>
    <row r="10" spans="1:8" x14ac:dyDescent="0.35">
      <c r="A10" t="s">
        <v>407</v>
      </c>
      <c r="B10" t="s">
        <v>372</v>
      </c>
      <c r="C10" s="160">
        <v>43021</v>
      </c>
      <c r="D10" s="6">
        <f>WEEKNUM(C10)</f>
        <v>41</v>
      </c>
      <c r="E10" s="6">
        <f ca="1">C10-TODAY()</f>
        <v>-3</v>
      </c>
      <c r="F10" s="160">
        <v>42858</v>
      </c>
      <c r="G10" s="6">
        <f ca="1">IF(LEN(F10)=0,"",F10-TODAY())</f>
        <v>-166</v>
      </c>
      <c r="H10" s="160">
        <f t="shared" si="0"/>
        <v>43111</v>
      </c>
    </row>
    <row r="11" spans="1:8" x14ac:dyDescent="0.35">
      <c r="A11" t="s">
        <v>407</v>
      </c>
      <c r="B11" t="s">
        <v>382</v>
      </c>
      <c r="C11" s="160">
        <v>43021</v>
      </c>
      <c r="D11" s="6">
        <f>WEEKNUM(C11)</f>
        <v>41</v>
      </c>
      <c r="E11" s="6">
        <f ca="1">C11-TODAY()</f>
        <v>-3</v>
      </c>
      <c r="F11" s="160">
        <v>42887</v>
      </c>
      <c r="G11" s="6">
        <f ca="1">IF(LEN(F11)=0,"",F11-TODAY())</f>
        <v>-137</v>
      </c>
      <c r="H11" s="160">
        <f t="shared" si="0"/>
        <v>43111</v>
      </c>
    </row>
    <row r="12" spans="1:8" x14ac:dyDescent="0.35">
      <c r="A12" t="s">
        <v>408</v>
      </c>
      <c r="B12" s="163" t="s">
        <v>356</v>
      </c>
      <c r="C12" s="160">
        <v>43024</v>
      </c>
      <c r="D12" s="6">
        <f>WEEKNUM(C12)</f>
        <v>42</v>
      </c>
      <c r="E12" s="6">
        <f ca="1">C12-TODAY()</f>
        <v>0</v>
      </c>
      <c r="G12" s="6" t="str">
        <f ca="1">IF(LEN(F12)=0,"",F12-TODAY())</f>
        <v/>
      </c>
      <c r="H12" s="160">
        <f t="shared" si="0"/>
        <v>43114</v>
      </c>
    </row>
    <row r="13" spans="1:8" x14ac:dyDescent="0.35">
      <c r="A13" t="s">
        <v>407</v>
      </c>
      <c r="B13" s="163" t="s">
        <v>86</v>
      </c>
      <c r="C13" s="160">
        <v>43025</v>
      </c>
      <c r="D13" s="6">
        <f>WEEKNUM(C13)</f>
        <v>42</v>
      </c>
      <c r="E13" s="6">
        <f ca="1">C13-TODAY()</f>
        <v>1</v>
      </c>
      <c r="F13" s="160">
        <v>42846</v>
      </c>
      <c r="H13" s="160">
        <f t="shared" si="0"/>
        <v>43115</v>
      </c>
    </row>
    <row r="14" spans="1:8" x14ac:dyDescent="0.35">
      <c r="A14" t="s">
        <v>407</v>
      </c>
      <c r="B14" s="194" t="s">
        <v>556</v>
      </c>
      <c r="C14" s="160">
        <v>43025</v>
      </c>
      <c r="D14" s="6">
        <f>WEEKNUM(C14)</f>
        <v>42</v>
      </c>
      <c r="E14" s="6">
        <f ca="1">C14-TODAY()</f>
        <v>1</v>
      </c>
      <c r="H14" s="160">
        <f t="shared" si="0"/>
        <v>43115</v>
      </c>
    </row>
    <row r="15" spans="1:8" x14ac:dyDescent="0.35">
      <c r="A15" t="s">
        <v>407</v>
      </c>
      <c r="B15" s="194" t="s">
        <v>675</v>
      </c>
      <c r="C15" s="160">
        <v>43025</v>
      </c>
      <c r="D15" s="6">
        <f>WEEKNUM(C15)</f>
        <v>42</v>
      </c>
      <c r="E15" s="6">
        <f ca="1">C15-TODAY()</f>
        <v>1</v>
      </c>
      <c r="H15" s="160">
        <f t="shared" si="0"/>
        <v>43115</v>
      </c>
    </row>
    <row r="16" spans="1:8" x14ac:dyDescent="0.35">
      <c r="A16" t="s">
        <v>408</v>
      </c>
      <c r="B16" s="194" t="s">
        <v>660</v>
      </c>
      <c r="C16" s="160">
        <v>43026</v>
      </c>
      <c r="D16" s="6">
        <f>WEEKNUM(C16)</f>
        <v>42</v>
      </c>
      <c r="E16" s="6">
        <f ca="1">C16-TODAY()</f>
        <v>2</v>
      </c>
      <c r="H16" s="160">
        <f t="shared" si="0"/>
        <v>43116</v>
      </c>
    </row>
    <row r="17" spans="1:8" x14ac:dyDescent="0.35">
      <c r="A17" t="s">
        <v>408</v>
      </c>
      <c r="B17" s="163" t="s">
        <v>644</v>
      </c>
      <c r="C17" s="160">
        <v>43026</v>
      </c>
      <c r="D17" s="6">
        <f>WEEKNUM(C17)</f>
        <v>42</v>
      </c>
      <c r="E17" s="6">
        <f ca="1">C17-TODAY()</f>
        <v>2</v>
      </c>
      <c r="H17" s="160">
        <f t="shared" si="0"/>
        <v>43116</v>
      </c>
    </row>
    <row r="18" spans="1:8" x14ac:dyDescent="0.35">
      <c r="A18" t="s">
        <v>407</v>
      </c>
      <c r="B18" s="163" t="s">
        <v>338</v>
      </c>
      <c r="C18" s="160">
        <v>43027</v>
      </c>
      <c r="D18" s="6">
        <f>WEEKNUM(C18)</f>
        <v>42</v>
      </c>
      <c r="E18" s="6">
        <f ca="1">C18-TODAY()</f>
        <v>3</v>
      </c>
      <c r="F18" s="160">
        <v>42922</v>
      </c>
      <c r="G18" s="6">
        <f ca="1">IF(LEN(F18)=0,"",F18-TODAY())</f>
        <v>-102</v>
      </c>
      <c r="H18" s="160">
        <f t="shared" si="0"/>
        <v>43117</v>
      </c>
    </row>
    <row r="19" spans="1:8" x14ac:dyDescent="0.35">
      <c r="A19" t="s">
        <v>407</v>
      </c>
      <c r="B19" s="194" t="s">
        <v>563</v>
      </c>
      <c r="C19" s="160">
        <v>43028</v>
      </c>
      <c r="D19" s="6">
        <f>WEEKNUM(C19)</f>
        <v>42</v>
      </c>
      <c r="E19" s="6">
        <f ca="1">C19-TODAY()</f>
        <v>4</v>
      </c>
      <c r="H19" s="160">
        <f t="shared" si="0"/>
        <v>43118</v>
      </c>
    </row>
    <row r="20" spans="1:8" x14ac:dyDescent="0.35">
      <c r="A20" t="s">
        <v>407</v>
      </c>
      <c r="B20" s="194" t="s">
        <v>666</v>
      </c>
      <c r="C20" s="160">
        <v>43028</v>
      </c>
      <c r="D20" s="6">
        <f>WEEKNUM(C20)</f>
        <v>42</v>
      </c>
      <c r="E20" s="6">
        <f ca="1">C20-TODAY()</f>
        <v>4</v>
      </c>
      <c r="H20" s="160">
        <f t="shared" si="0"/>
        <v>43118</v>
      </c>
    </row>
    <row r="21" spans="1:8" x14ac:dyDescent="0.35">
      <c r="A21" t="s">
        <v>407</v>
      </c>
      <c r="B21" s="194" t="s">
        <v>662</v>
      </c>
      <c r="C21" s="160">
        <v>43028</v>
      </c>
      <c r="D21" s="6">
        <f>WEEKNUM(C21)</f>
        <v>42</v>
      </c>
      <c r="E21" s="6">
        <f ca="1">C21-TODAY()</f>
        <v>4</v>
      </c>
      <c r="H21" s="160">
        <f t="shared" si="0"/>
        <v>43118</v>
      </c>
    </row>
    <row r="22" spans="1:8" x14ac:dyDescent="0.35">
      <c r="A22" t="s">
        <v>407</v>
      </c>
      <c r="B22" s="163" t="s">
        <v>180</v>
      </c>
      <c r="C22" s="160">
        <v>43031</v>
      </c>
      <c r="D22" s="6">
        <f>WEEKNUM(C22)</f>
        <v>43</v>
      </c>
      <c r="E22" s="6">
        <f ca="1">C22-TODAY()</f>
        <v>7</v>
      </c>
      <c r="G22" s="6" t="str">
        <f ca="1">IF(LEN(F22)=0,"",F22-TODAY())</f>
        <v/>
      </c>
      <c r="H22" s="160">
        <f t="shared" si="0"/>
        <v>43121</v>
      </c>
    </row>
    <row r="23" spans="1:8" x14ac:dyDescent="0.35">
      <c r="A23" t="s">
        <v>408</v>
      </c>
      <c r="B23" t="s">
        <v>166</v>
      </c>
      <c r="C23" s="160">
        <v>43031</v>
      </c>
      <c r="D23" s="6">
        <f>WEEKNUM(C23)</f>
        <v>43</v>
      </c>
      <c r="E23" s="6">
        <f ca="1">C23-TODAY()</f>
        <v>7</v>
      </c>
      <c r="G23" s="6" t="str">
        <f ca="1">IF(LEN(F23)=0,"",F23-TODAY())</f>
        <v/>
      </c>
      <c r="H23" s="160">
        <f t="shared" si="0"/>
        <v>43121</v>
      </c>
    </row>
    <row r="24" spans="1:8" x14ac:dyDescent="0.35">
      <c r="A24" t="s">
        <v>437</v>
      </c>
      <c r="B24" s="194" t="s">
        <v>671</v>
      </c>
      <c r="C24" s="160">
        <v>43031</v>
      </c>
      <c r="D24" s="6">
        <f>WEEKNUM(C24)</f>
        <v>43</v>
      </c>
      <c r="E24" s="6">
        <f ca="1">C24-TODAY()</f>
        <v>7</v>
      </c>
      <c r="H24" s="160">
        <f t="shared" si="0"/>
        <v>43121</v>
      </c>
    </row>
    <row r="25" spans="1:8" x14ac:dyDescent="0.35">
      <c r="A25" t="s">
        <v>407</v>
      </c>
      <c r="B25" s="163" t="s">
        <v>354</v>
      </c>
      <c r="C25" s="160">
        <v>43032</v>
      </c>
      <c r="D25" s="6">
        <f>WEEKNUM(C25)</f>
        <v>43</v>
      </c>
      <c r="E25" s="6">
        <f ca="1">C25-TODAY()</f>
        <v>8</v>
      </c>
      <c r="F25" s="160">
        <v>42843</v>
      </c>
      <c r="G25" s="6">
        <f ca="1">IF(LEN(F25)=0,"",F25-TODAY())</f>
        <v>-181</v>
      </c>
      <c r="H25" s="160">
        <f t="shared" si="0"/>
        <v>43122</v>
      </c>
    </row>
    <row r="26" spans="1:8" x14ac:dyDescent="0.35">
      <c r="A26" t="s">
        <v>407</v>
      </c>
      <c r="B26" s="194" t="s">
        <v>661</v>
      </c>
      <c r="C26" s="160">
        <v>43032</v>
      </c>
      <c r="D26" s="6">
        <f>WEEKNUM(C26)</f>
        <v>43</v>
      </c>
      <c r="E26" s="6">
        <f ca="1">C26-TODAY()</f>
        <v>8</v>
      </c>
      <c r="H26" s="160">
        <f t="shared" si="0"/>
        <v>43122</v>
      </c>
    </row>
    <row r="27" spans="1:8" x14ac:dyDescent="0.35">
      <c r="A27" t="s">
        <v>407</v>
      </c>
      <c r="B27" s="194" t="s">
        <v>665</v>
      </c>
      <c r="C27" s="160">
        <v>43032</v>
      </c>
      <c r="D27" s="6">
        <f>WEEKNUM(C27)</f>
        <v>43</v>
      </c>
      <c r="E27" s="6">
        <f ca="1">C27-TODAY()</f>
        <v>8</v>
      </c>
      <c r="H27" s="160">
        <f t="shared" si="0"/>
        <v>43122</v>
      </c>
    </row>
    <row r="28" spans="1:8" x14ac:dyDescent="0.35">
      <c r="A28" t="s">
        <v>407</v>
      </c>
      <c r="B28" s="194" t="s">
        <v>667</v>
      </c>
      <c r="C28" s="160">
        <v>43032</v>
      </c>
      <c r="D28" s="6">
        <f>WEEKNUM(C28)</f>
        <v>43</v>
      </c>
      <c r="E28" s="6">
        <f ca="1">C28-TODAY()</f>
        <v>8</v>
      </c>
      <c r="H28" s="160">
        <f t="shared" si="0"/>
        <v>43122</v>
      </c>
    </row>
    <row r="29" spans="1:8" x14ac:dyDescent="0.35">
      <c r="A29" t="s">
        <v>407</v>
      </c>
      <c r="B29" s="194" t="s">
        <v>668</v>
      </c>
      <c r="C29" s="160">
        <v>43032</v>
      </c>
      <c r="D29" s="6">
        <f>WEEKNUM(C29)</f>
        <v>43</v>
      </c>
      <c r="E29" s="6">
        <f ca="1">C29-TODAY()</f>
        <v>8</v>
      </c>
      <c r="H29" s="160">
        <f t="shared" si="0"/>
        <v>43122</v>
      </c>
    </row>
    <row r="30" spans="1:8" x14ac:dyDescent="0.35">
      <c r="A30" t="s">
        <v>408</v>
      </c>
      <c r="B30" s="194" t="s">
        <v>655</v>
      </c>
      <c r="C30" s="160">
        <v>43032</v>
      </c>
      <c r="D30" s="6">
        <f>WEEKNUM(C30)</f>
        <v>43</v>
      </c>
      <c r="E30" s="6">
        <f ca="1">C30-TODAY()</f>
        <v>8</v>
      </c>
      <c r="H30" s="160">
        <f t="shared" si="0"/>
        <v>43122</v>
      </c>
    </row>
    <row r="31" spans="1:8" x14ac:dyDescent="0.35">
      <c r="A31" t="s">
        <v>408</v>
      </c>
      <c r="B31" t="s">
        <v>33</v>
      </c>
      <c r="C31" s="160">
        <v>43032</v>
      </c>
      <c r="D31" s="6">
        <f>WEEKNUM(C31)</f>
        <v>43</v>
      </c>
      <c r="E31" s="6">
        <f ca="1">C31-TODAY()</f>
        <v>8</v>
      </c>
      <c r="F31" s="160">
        <v>42922</v>
      </c>
      <c r="G31" s="6">
        <f ca="1">IF(LEN(F31)=0,"",F31-TODAY())</f>
        <v>-102</v>
      </c>
      <c r="H31" s="160">
        <f t="shared" si="0"/>
        <v>43122</v>
      </c>
    </row>
    <row r="32" spans="1:8" x14ac:dyDescent="0.35">
      <c r="A32" t="s">
        <v>407</v>
      </c>
      <c r="B32" s="194" t="s">
        <v>670</v>
      </c>
      <c r="C32" s="160">
        <v>43033</v>
      </c>
      <c r="D32" s="6">
        <f>WEEKNUM(C32)</f>
        <v>43</v>
      </c>
      <c r="E32" s="6">
        <f ca="1">C32-TODAY()</f>
        <v>9</v>
      </c>
      <c r="H32" s="160">
        <f t="shared" si="0"/>
        <v>43123</v>
      </c>
    </row>
    <row r="33" spans="1:8" x14ac:dyDescent="0.35">
      <c r="A33" t="s">
        <v>407</v>
      </c>
      <c r="B33" s="163" t="s">
        <v>363</v>
      </c>
      <c r="C33" s="160">
        <v>43033</v>
      </c>
      <c r="D33" s="6">
        <f>WEEKNUM(C33)</f>
        <v>43</v>
      </c>
      <c r="E33" s="6">
        <f ca="1">C33-TODAY()</f>
        <v>9</v>
      </c>
      <c r="F33" s="160">
        <v>42893</v>
      </c>
      <c r="G33" s="6">
        <f ca="1">IF(LEN(F33)=0,"",F33-TODAY())</f>
        <v>-131</v>
      </c>
      <c r="H33" s="160">
        <f t="shared" si="0"/>
        <v>43123</v>
      </c>
    </row>
    <row r="34" spans="1:8" x14ac:dyDescent="0.35">
      <c r="A34" t="s">
        <v>408</v>
      </c>
      <c r="B34" s="194" t="s">
        <v>630</v>
      </c>
      <c r="C34" s="160">
        <v>43033</v>
      </c>
      <c r="D34" s="6">
        <f>WEEKNUM(C34)</f>
        <v>43</v>
      </c>
      <c r="E34" s="6">
        <f ca="1">C34-TODAY()</f>
        <v>9</v>
      </c>
      <c r="F34" s="160">
        <v>42870</v>
      </c>
      <c r="H34" s="160">
        <f t="shared" si="0"/>
        <v>43123</v>
      </c>
    </row>
    <row r="35" spans="1:8" x14ac:dyDescent="0.35">
      <c r="A35" t="s">
        <v>408</v>
      </c>
      <c r="B35" s="194" t="s">
        <v>620</v>
      </c>
      <c r="C35" s="160">
        <v>43033</v>
      </c>
      <c r="D35" s="6">
        <f>WEEKNUM(C35)</f>
        <v>43</v>
      </c>
      <c r="E35" s="6">
        <f ca="1">C35-TODAY()</f>
        <v>9</v>
      </c>
      <c r="H35" s="160">
        <f t="shared" si="0"/>
        <v>43123</v>
      </c>
    </row>
    <row r="36" spans="1:8" x14ac:dyDescent="0.35">
      <c r="A36" t="s">
        <v>408</v>
      </c>
      <c r="B36" s="163" t="s">
        <v>343</v>
      </c>
      <c r="C36" s="160">
        <v>43033</v>
      </c>
      <c r="D36" s="6">
        <f>WEEKNUM(C36)</f>
        <v>43</v>
      </c>
      <c r="E36" s="6">
        <f ca="1">C36-TODAY()</f>
        <v>9</v>
      </c>
      <c r="G36" s="6" t="str">
        <f ca="1">IF(LEN(F36)=0,"",F36-TODAY())</f>
        <v/>
      </c>
      <c r="H36" s="160">
        <f t="shared" si="0"/>
        <v>43123</v>
      </c>
    </row>
    <row r="37" spans="1:8" x14ac:dyDescent="0.35">
      <c r="A37" t="s">
        <v>408</v>
      </c>
      <c r="B37" s="163" t="s">
        <v>438</v>
      </c>
      <c r="C37" s="160">
        <v>43033</v>
      </c>
      <c r="D37" s="6">
        <f>WEEKNUM(C37)</f>
        <v>43</v>
      </c>
      <c r="E37" s="6">
        <f ca="1">C37-TODAY()</f>
        <v>9</v>
      </c>
      <c r="H37" s="160">
        <f t="shared" ref="H37:H68" si="1">C37+90</f>
        <v>43123</v>
      </c>
    </row>
    <row r="38" spans="1:8" x14ac:dyDescent="0.35">
      <c r="A38" t="s">
        <v>407</v>
      </c>
      <c r="B38" t="s">
        <v>57</v>
      </c>
      <c r="C38" s="160">
        <v>43034</v>
      </c>
      <c r="D38" s="6">
        <f>WEEKNUM(C38)</f>
        <v>43</v>
      </c>
      <c r="E38" s="6">
        <f ca="1">C38-TODAY()</f>
        <v>10</v>
      </c>
      <c r="F38" s="160">
        <v>42852</v>
      </c>
      <c r="G38" s="6">
        <f ca="1">IF(LEN(F38)=0,"",F38-TODAY())</f>
        <v>-172</v>
      </c>
      <c r="H38" s="160">
        <f t="shared" si="1"/>
        <v>43124</v>
      </c>
    </row>
    <row r="39" spans="1:8" x14ac:dyDescent="0.35">
      <c r="A39" t="s">
        <v>407</v>
      </c>
      <c r="B39" s="163" t="s">
        <v>374</v>
      </c>
      <c r="C39" s="160">
        <v>43034</v>
      </c>
      <c r="D39" s="6">
        <f>WEEKNUM(C39)</f>
        <v>43</v>
      </c>
      <c r="E39" s="6">
        <f ca="1">C39-TODAY()</f>
        <v>10</v>
      </c>
      <c r="G39" s="6" t="str">
        <f ca="1">IF(LEN(F39)=0,"",F39-TODAY())</f>
        <v/>
      </c>
      <c r="H39" s="160">
        <f t="shared" si="1"/>
        <v>43124</v>
      </c>
    </row>
    <row r="40" spans="1:8" x14ac:dyDescent="0.35">
      <c r="A40" t="s">
        <v>407</v>
      </c>
      <c r="B40" t="s">
        <v>558</v>
      </c>
      <c r="C40" s="160">
        <v>43034</v>
      </c>
      <c r="D40" s="6">
        <f>WEEKNUM(C40)</f>
        <v>43</v>
      </c>
      <c r="E40" s="6">
        <f ca="1">C40-TODAY()</f>
        <v>10</v>
      </c>
      <c r="H40" s="160">
        <f t="shared" si="1"/>
        <v>43124</v>
      </c>
    </row>
    <row r="41" spans="1:8" x14ac:dyDescent="0.35">
      <c r="A41" t="s">
        <v>407</v>
      </c>
      <c r="B41" s="194" t="s">
        <v>656</v>
      </c>
      <c r="C41" s="160">
        <v>43034</v>
      </c>
      <c r="D41" s="6">
        <f>WEEKNUM(C41)</f>
        <v>43</v>
      </c>
      <c r="E41" s="6">
        <f ca="1">C41-TODAY()</f>
        <v>10</v>
      </c>
      <c r="H41" s="160">
        <f t="shared" si="1"/>
        <v>43124</v>
      </c>
    </row>
    <row r="42" spans="1:8" x14ac:dyDescent="0.35">
      <c r="A42" t="s">
        <v>407</v>
      </c>
      <c r="B42" s="194" t="s">
        <v>530</v>
      </c>
      <c r="C42" s="160">
        <v>43034</v>
      </c>
      <c r="D42" s="6">
        <f>WEEKNUM(C42)</f>
        <v>43</v>
      </c>
      <c r="E42" s="6">
        <f ca="1">C42-TODAY()</f>
        <v>10</v>
      </c>
      <c r="H42" s="160">
        <f t="shared" si="1"/>
        <v>43124</v>
      </c>
    </row>
    <row r="43" spans="1:8" x14ac:dyDescent="0.35">
      <c r="A43" t="s">
        <v>407</v>
      </c>
      <c r="B43" s="194" t="s">
        <v>688</v>
      </c>
      <c r="C43" s="160">
        <v>43034</v>
      </c>
      <c r="D43" s="6">
        <f>WEEKNUM(C43)</f>
        <v>43</v>
      </c>
      <c r="E43" s="6">
        <f ca="1">C43-TODAY()</f>
        <v>10</v>
      </c>
      <c r="H43" s="160">
        <f t="shared" si="1"/>
        <v>43124</v>
      </c>
    </row>
    <row r="44" spans="1:8" x14ac:dyDescent="0.35">
      <c r="A44" t="s">
        <v>408</v>
      </c>
      <c r="B44" s="163" t="s">
        <v>383</v>
      </c>
      <c r="C44" s="160">
        <v>43034</v>
      </c>
      <c r="D44" s="6">
        <f>WEEKNUM(C44)</f>
        <v>43</v>
      </c>
      <c r="E44" s="6">
        <f ca="1">C44-TODAY()</f>
        <v>10</v>
      </c>
      <c r="F44" s="160">
        <v>42871</v>
      </c>
      <c r="G44" s="6">
        <f ca="1">IF(LEN(F44)=0,"",F44-TODAY())</f>
        <v>-153</v>
      </c>
      <c r="H44" s="160">
        <f t="shared" si="1"/>
        <v>43124</v>
      </c>
    </row>
    <row r="45" spans="1:8" x14ac:dyDescent="0.35">
      <c r="A45" t="s">
        <v>408</v>
      </c>
      <c r="B45" s="163" t="s">
        <v>368</v>
      </c>
      <c r="C45" s="160">
        <v>43034</v>
      </c>
      <c r="D45" s="6">
        <f>WEEKNUM(C45)</f>
        <v>43</v>
      </c>
      <c r="E45" s="6">
        <f ca="1">C45-TODAY()</f>
        <v>10</v>
      </c>
      <c r="G45" s="6" t="str">
        <f ca="1">IF(LEN(F45)=0,"",F45-TODAY())</f>
        <v/>
      </c>
      <c r="H45" s="160">
        <f t="shared" si="1"/>
        <v>43124</v>
      </c>
    </row>
    <row r="46" spans="1:8" x14ac:dyDescent="0.35">
      <c r="A46" t="s">
        <v>408</v>
      </c>
      <c r="B46" s="194" t="s">
        <v>669</v>
      </c>
      <c r="C46" s="160">
        <v>43034</v>
      </c>
      <c r="D46" s="6">
        <f>WEEKNUM(C46)</f>
        <v>43</v>
      </c>
      <c r="E46" s="6">
        <f ca="1">C46-TODAY()</f>
        <v>10</v>
      </c>
      <c r="H46" s="160">
        <f t="shared" si="1"/>
        <v>43124</v>
      </c>
    </row>
    <row r="47" spans="1:8" x14ac:dyDescent="0.35">
      <c r="A47" t="s">
        <v>408</v>
      </c>
      <c r="B47" s="163" t="s">
        <v>87</v>
      </c>
      <c r="C47" s="160">
        <v>43034</v>
      </c>
      <c r="D47" s="6">
        <f>WEEKNUM(C47)</f>
        <v>43</v>
      </c>
      <c r="E47" s="6">
        <f ca="1">C47-TODAY()</f>
        <v>10</v>
      </c>
      <c r="G47" s="6" t="str">
        <f ca="1">IF(LEN(F47)=0,"",F47-TODAY())</f>
        <v/>
      </c>
      <c r="H47" s="160">
        <f t="shared" si="1"/>
        <v>43124</v>
      </c>
    </row>
    <row r="48" spans="1:8" x14ac:dyDescent="0.35">
      <c r="A48" t="s">
        <v>408</v>
      </c>
      <c r="B48" s="194" t="s">
        <v>673</v>
      </c>
      <c r="C48" s="160">
        <v>43034</v>
      </c>
      <c r="D48" s="6">
        <f>WEEKNUM(C48)</f>
        <v>43</v>
      </c>
      <c r="E48" s="6">
        <f ca="1">C48-TODAY()</f>
        <v>10</v>
      </c>
      <c r="H48" s="160">
        <f t="shared" si="1"/>
        <v>43124</v>
      </c>
    </row>
    <row r="49" spans="1:8" x14ac:dyDescent="0.35">
      <c r="A49" t="s">
        <v>407</v>
      </c>
      <c r="B49" s="194" t="s">
        <v>632</v>
      </c>
      <c r="C49" s="160">
        <v>43035</v>
      </c>
      <c r="D49" s="6">
        <f>WEEKNUM(C49)</f>
        <v>43</v>
      </c>
      <c r="E49" s="6">
        <f ca="1">C49-TODAY()</f>
        <v>11</v>
      </c>
      <c r="F49" s="160">
        <v>42926</v>
      </c>
      <c r="H49" s="160">
        <f t="shared" si="1"/>
        <v>43125</v>
      </c>
    </row>
    <row r="50" spans="1:8" x14ac:dyDescent="0.35">
      <c r="A50" t="s">
        <v>408</v>
      </c>
      <c r="B50" s="163" t="s">
        <v>181</v>
      </c>
      <c r="C50" s="160">
        <v>43038</v>
      </c>
      <c r="D50" s="6">
        <f>WEEKNUM(C50)</f>
        <v>44</v>
      </c>
      <c r="E50" s="6">
        <f ca="1">C50-TODAY()</f>
        <v>14</v>
      </c>
      <c r="F50" s="160">
        <v>42887</v>
      </c>
      <c r="G50" s="6">
        <f ca="1">IF(LEN(F50)=0,"",F50-TODAY())</f>
        <v>-137</v>
      </c>
      <c r="H50" s="160">
        <f t="shared" si="1"/>
        <v>43128</v>
      </c>
    </row>
    <row r="51" spans="1:8" x14ac:dyDescent="0.35">
      <c r="A51" t="s">
        <v>408</v>
      </c>
      <c r="B51" s="194" t="s">
        <v>615</v>
      </c>
      <c r="C51" s="160">
        <v>43038</v>
      </c>
      <c r="D51" s="6">
        <f>WEEKNUM(C51)</f>
        <v>44</v>
      </c>
      <c r="E51" s="6">
        <f ca="1">C51-TODAY()</f>
        <v>14</v>
      </c>
      <c r="H51" s="160">
        <f t="shared" si="1"/>
        <v>43128</v>
      </c>
    </row>
    <row r="52" spans="1:8" x14ac:dyDescent="0.35">
      <c r="A52" t="s">
        <v>407</v>
      </c>
      <c r="B52" s="163" t="s">
        <v>687</v>
      </c>
      <c r="C52" s="160">
        <v>43039</v>
      </c>
      <c r="D52" s="6">
        <f>WEEKNUM(C52)</f>
        <v>44</v>
      </c>
      <c r="E52" s="6">
        <f ca="1">C52-TODAY()</f>
        <v>15</v>
      </c>
      <c r="H52" s="160">
        <f t="shared" si="1"/>
        <v>43129</v>
      </c>
    </row>
    <row r="53" spans="1:8" x14ac:dyDescent="0.35">
      <c r="A53" t="s">
        <v>407</v>
      </c>
      <c r="B53" s="163" t="s">
        <v>390</v>
      </c>
      <c r="C53" s="160">
        <v>43039</v>
      </c>
      <c r="D53" s="6">
        <f>WEEKNUM(C53)</f>
        <v>44</v>
      </c>
      <c r="E53" s="6">
        <f ca="1">C53-TODAY()</f>
        <v>15</v>
      </c>
      <c r="G53" s="6" t="str">
        <f ca="1">IF(LEN(F53)=0,"",F53-TODAY())</f>
        <v/>
      </c>
      <c r="H53" s="160">
        <f t="shared" si="1"/>
        <v>43129</v>
      </c>
    </row>
    <row r="54" spans="1:8" x14ac:dyDescent="0.35">
      <c r="A54" t="s">
        <v>407</v>
      </c>
      <c r="B54" s="194" t="s">
        <v>631</v>
      </c>
      <c r="C54" s="160">
        <v>43039</v>
      </c>
      <c r="D54" s="6">
        <f>WEEKNUM(C54)</f>
        <v>44</v>
      </c>
      <c r="E54" s="6">
        <f ca="1">C54-TODAY()</f>
        <v>15</v>
      </c>
      <c r="F54" s="160">
        <v>42887</v>
      </c>
      <c r="H54" s="160">
        <f t="shared" si="1"/>
        <v>43129</v>
      </c>
    </row>
    <row r="55" spans="1:8" x14ac:dyDescent="0.35">
      <c r="A55" t="s">
        <v>407</v>
      </c>
      <c r="B55" s="163" t="s">
        <v>629</v>
      </c>
      <c r="C55" s="160">
        <v>43039</v>
      </c>
      <c r="D55" s="6">
        <f>WEEKNUM(C55)</f>
        <v>44</v>
      </c>
      <c r="E55" s="6">
        <f ca="1">C55-TODAY()</f>
        <v>15</v>
      </c>
      <c r="F55" s="160">
        <v>42922</v>
      </c>
      <c r="H55" s="160">
        <f t="shared" si="1"/>
        <v>43129</v>
      </c>
    </row>
    <row r="56" spans="1:8" x14ac:dyDescent="0.35">
      <c r="A56" t="s">
        <v>408</v>
      </c>
      <c r="B56" s="163" t="s">
        <v>410</v>
      </c>
      <c r="C56" s="160">
        <v>43039</v>
      </c>
      <c r="D56" s="6">
        <f>WEEKNUM(C56)</f>
        <v>44</v>
      </c>
      <c r="E56" s="6">
        <f ca="1">C56-TODAY()</f>
        <v>15</v>
      </c>
      <c r="H56" s="160">
        <f t="shared" si="1"/>
        <v>43129</v>
      </c>
    </row>
    <row r="57" spans="1:8" x14ac:dyDescent="0.35">
      <c r="A57" t="s">
        <v>407</v>
      </c>
      <c r="B57" s="194" t="s">
        <v>552</v>
      </c>
      <c r="C57" s="160">
        <v>43040</v>
      </c>
      <c r="D57" s="6">
        <f>WEEKNUM(C57)</f>
        <v>44</v>
      </c>
      <c r="E57" s="6">
        <f ca="1">C57-TODAY()</f>
        <v>16</v>
      </c>
      <c r="H57" s="160">
        <f t="shared" si="1"/>
        <v>43130</v>
      </c>
    </row>
    <row r="58" spans="1:8" x14ac:dyDescent="0.35">
      <c r="A58" t="s">
        <v>407</v>
      </c>
      <c r="B58" s="163" t="s">
        <v>442</v>
      </c>
      <c r="C58" s="160">
        <v>43040</v>
      </c>
      <c r="D58" s="6">
        <f>WEEKNUM(C58)</f>
        <v>44</v>
      </c>
      <c r="E58" s="6">
        <f ca="1">C58-TODAY()</f>
        <v>16</v>
      </c>
      <c r="H58" s="160">
        <f t="shared" si="1"/>
        <v>43130</v>
      </c>
    </row>
    <row r="59" spans="1:8" x14ac:dyDescent="0.35">
      <c r="A59" t="s">
        <v>408</v>
      </c>
      <c r="B59" s="163" t="s">
        <v>355</v>
      </c>
      <c r="C59" s="160">
        <v>43040</v>
      </c>
      <c r="D59" s="6">
        <f>WEEKNUM(C59)</f>
        <v>44</v>
      </c>
      <c r="E59" s="6">
        <f ca="1">C59-TODAY()</f>
        <v>16</v>
      </c>
      <c r="G59" s="6" t="str">
        <f ca="1">IF(LEN(F59)=0,"",F59-TODAY())</f>
        <v/>
      </c>
      <c r="H59" s="160">
        <f t="shared" si="1"/>
        <v>43130</v>
      </c>
    </row>
    <row r="60" spans="1:8" x14ac:dyDescent="0.35">
      <c r="A60" t="s">
        <v>408</v>
      </c>
      <c r="B60" s="194" t="s">
        <v>628</v>
      </c>
      <c r="C60" s="160">
        <v>43040</v>
      </c>
      <c r="D60" s="6">
        <f>WEEKNUM(C60)</f>
        <v>44</v>
      </c>
      <c r="E60" s="6">
        <f ca="1">C60-TODAY()</f>
        <v>16</v>
      </c>
      <c r="H60" s="160">
        <f t="shared" si="1"/>
        <v>43130</v>
      </c>
    </row>
    <row r="61" spans="1:8" x14ac:dyDescent="0.35">
      <c r="A61" t="s">
        <v>408</v>
      </c>
      <c r="B61" s="163" t="s">
        <v>436</v>
      </c>
      <c r="C61" s="160">
        <v>43040</v>
      </c>
      <c r="D61" s="6">
        <f>WEEKNUM(C61)</f>
        <v>44</v>
      </c>
      <c r="E61" s="6">
        <f ca="1">C61-TODAY()</f>
        <v>16</v>
      </c>
      <c r="H61" s="160">
        <f t="shared" si="1"/>
        <v>43130</v>
      </c>
    </row>
    <row r="62" spans="1:8" x14ac:dyDescent="0.35">
      <c r="A62" t="s">
        <v>407</v>
      </c>
      <c r="B62" s="194" t="s">
        <v>633</v>
      </c>
      <c r="C62" s="160">
        <v>43041</v>
      </c>
      <c r="D62" s="6">
        <f>WEEKNUM(C62)</f>
        <v>44</v>
      </c>
      <c r="E62" s="6">
        <f ca="1">C62-TODAY()</f>
        <v>17</v>
      </c>
      <c r="H62" s="160">
        <f t="shared" si="1"/>
        <v>43131</v>
      </c>
    </row>
    <row r="63" spans="1:8" s="194" customFormat="1" x14ac:dyDescent="0.35">
      <c r="A63" t="s">
        <v>408</v>
      </c>
      <c r="B63" s="163" t="s">
        <v>93</v>
      </c>
      <c r="C63" s="160">
        <v>43041</v>
      </c>
      <c r="D63" s="6">
        <f>WEEKNUM(C63)</f>
        <v>44</v>
      </c>
      <c r="E63" s="6">
        <f ca="1">C63-TODAY()</f>
        <v>17</v>
      </c>
      <c r="F63" s="160">
        <v>42862</v>
      </c>
      <c r="G63" s="6">
        <f ca="1">IF(LEN(F63)=0,"",F63-TODAY())</f>
        <v>-162</v>
      </c>
      <c r="H63" s="160">
        <f t="shared" si="1"/>
        <v>43131</v>
      </c>
    </row>
    <row r="64" spans="1:8" s="194" customFormat="1" x14ac:dyDescent="0.35">
      <c r="A64" t="s">
        <v>408</v>
      </c>
      <c r="B64" s="163" t="s">
        <v>1</v>
      </c>
      <c r="C64" s="160">
        <v>43041</v>
      </c>
      <c r="D64" s="6">
        <f>WEEKNUM(C64)</f>
        <v>44</v>
      </c>
      <c r="E64" s="6">
        <f ca="1">C64-TODAY()</f>
        <v>17</v>
      </c>
      <c r="F64" s="160">
        <v>42864</v>
      </c>
      <c r="G64" s="6">
        <f ca="1">IF(LEN(F64)=0,"",F64-TODAY())</f>
        <v>-160</v>
      </c>
      <c r="H64" s="160">
        <f t="shared" si="1"/>
        <v>43131</v>
      </c>
    </row>
    <row r="65" spans="1:8" s="194" customFormat="1" x14ac:dyDescent="0.35">
      <c r="A65" t="s">
        <v>408</v>
      </c>
      <c r="B65" s="194" t="s">
        <v>627</v>
      </c>
      <c r="C65" s="160">
        <v>43041</v>
      </c>
      <c r="D65" s="6">
        <f>WEEKNUM(C65)</f>
        <v>44</v>
      </c>
      <c r="E65" s="6">
        <f ca="1">C65-TODAY()</f>
        <v>17</v>
      </c>
      <c r="F65" s="160"/>
      <c r="G65" s="6"/>
      <c r="H65" s="160">
        <f t="shared" si="1"/>
        <v>43131</v>
      </c>
    </row>
    <row r="66" spans="1:8" s="194" customFormat="1" x14ac:dyDescent="0.35">
      <c r="A66" t="s">
        <v>408</v>
      </c>
      <c r="B66" s="194" t="s">
        <v>674</v>
      </c>
      <c r="C66" s="160">
        <v>43041</v>
      </c>
      <c r="D66" s="6">
        <f>WEEKNUM(C66)</f>
        <v>44</v>
      </c>
      <c r="E66" s="6">
        <f ca="1">C66-TODAY()</f>
        <v>17</v>
      </c>
      <c r="F66" s="160"/>
      <c r="G66" s="6"/>
      <c r="H66" s="160">
        <f t="shared" si="1"/>
        <v>43131</v>
      </c>
    </row>
    <row r="67" spans="1:8" s="194" customFormat="1" x14ac:dyDescent="0.35">
      <c r="A67" t="s">
        <v>407</v>
      </c>
      <c r="B67" s="194" t="s">
        <v>404</v>
      </c>
      <c r="C67" s="160">
        <v>43042</v>
      </c>
      <c r="D67" s="6">
        <f>WEEKNUM(C67)</f>
        <v>44</v>
      </c>
      <c r="E67" s="6">
        <f ca="1">C67-TODAY()</f>
        <v>18</v>
      </c>
      <c r="F67" s="160"/>
      <c r="G67" s="6"/>
      <c r="H67" s="160">
        <f t="shared" si="1"/>
        <v>43132</v>
      </c>
    </row>
    <row r="68" spans="1:8" x14ac:dyDescent="0.35">
      <c r="A68" t="s">
        <v>408</v>
      </c>
      <c r="B68" s="194" t="s">
        <v>692</v>
      </c>
      <c r="C68" s="160">
        <v>43043</v>
      </c>
      <c r="D68" s="6">
        <f>WEEKNUM(C68)</f>
        <v>44</v>
      </c>
      <c r="E68" s="6">
        <f ca="1">C68-TODAY()</f>
        <v>19</v>
      </c>
      <c r="H68" s="160">
        <f t="shared" si="1"/>
        <v>43133</v>
      </c>
    </row>
    <row r="69" spans="1:8" x14ac:dyDescent="0.35">
      <c r="A69" t="s">
        <v>408</v>
      </c>
      <c r="B69" s="194" t="s">
        <v>406</v>
      </c>
      <c r="C69" s="160">
        <v>43045</v>
      </c>
      <c r="D69" s="6">
        <f>WEEKNUM(C69)</f>
        <v>45</v>
      </c>
      <c r="E69" s="6">
        <f ca="1">C69-TODAY()</f>
        <v>21</v>
      </c>
      <c r="G69" s="224"/>
      <c r="H69" s="160">
        <f t="shared" ref="H69:H92" si="2">C69+90</f>
        <v>43135</v>
      </c>
    </row>
    <row r="70" spans="1:8" x14ac:dyDescent="0.35">
      <c r="A70" t="s">
        <v>407</v>
      </c>
      <c r="B70" s="163" t="s">
        <v>625</v>
      </c>
      <c r="C70" s="160">
        <v>43046</v>
      </c>
      <c r="D70" s="6">
        <f>WEEKNUM(C70)</f>
        <v>45</v>
      </c>
      <c r="E70" s="6">
        <f ca="1">C70-TODAY()</f>
        <v>22</v>
      </c>
      <c r="H70" s="160">
        <f t="shared" si="2"/>
        <v>43136</v>
      </c>
    </row>
    <row r="71" spans="1:8" x14ac:dyDescent="0.35">
      <c r="A71" t="s">
        <v>407</v>
      </c>
      <c r="B71" s="163" t="s">
        <v>614</v>
      </c>
      <c r="C71" s="160">
        <v>43046</v>
      </c>
      <c r="D71" s="6">
        <f>WEEKNUM(C71)</f>
        <v>45</v>
      </c>
      <c r="E71" s="6">
        <f ca="1">C71-TODAY()</f>
        <v>22</v>
      </c>
      <c r="H71" s="160">
        <f t="shared" si="2"/>
        <v>43136</v>
      </c>
    </row>
    <row r="72" spans="1:8" x14ac:dyDescent="0.35">
      <c r="A72" t="s">
        <v>407</v>
      </c>
      <c r="B72" s="163" t="s">
        <v>92</v>
      </c>
      <c r="C72" s="160">
        <v>43048</v>
      </c>
      <c r="D72" s="6">
        <f>WEEKNUM(C72)</f>
        <v>45</v>
      </c>
      <c r="E72" s="6">
        <f ca="1">C72-TODAY()</f>
        <v>24</v>
      </c>
      <c r="F72" s="160">
        <v>42807</v>
      </c>
      <c r="G72" s="6">
        <f ca="1">IF(LEN(F72)=0,"",F72-TODAY())</f>
        <v>-217</v>
      </c>
      <c r="H72" s="160">
        <f t="shared" si="2"/>
        <v>43138</v>
      </c>
    </row>
    <row r="73" spans="1:8" x14ac:dyDescent="0.35">
      <c r="A73" t="s">
        <v>408</v>
      </c>
      <c r="B73" t="s">
        <v>380</v>
      </c>
      <c r="C73" s="160">
        <v>43048</v>
      </c>
      <c r="D73" s="6">
        <f>WEEKNUM(C73)</f>
        <v>45</v>
      </c>
      <c r="E73" s="6">
        <f ca="1">C73-TODAY()</f>
        <v>24</v>
      </c>
      <c r="G73" s="6" t="str">
        <f ca="1">IF(LEN(F73)=0,"",F73-TODAY())</f>
        <v/>
      </c>
      <c r="H73" s="160">
        <f t="shared" si="2"/>
        <v>43138</v>
      </c>
    </row>
    <row r="74" spans="1:8" x14ac:dyDescent="0.35">
      <c r="A74" t="s">
        <v>408</v>
      </c>
      <c r="B74" s="163" t="s">
        <v>384</v>
      </c>
      <c r="C74" s="160">
        <v>43048</v>
      </c>
      <c r="D74" s="6">
        <f>WEEKNUM(C74)</f>
        <v>45</v>
      </c>
      <c r="E74" s="6">
        <f ca="1">C74-TODAY()</f>
        <v>24</v>
      </c>
      <c r="G74" s="6" t="str">
        <f ca="1">IF(LEN(F74)=0,"",F74-TODAY())</f>
        <v/>
      </c>
      <c r="H74" s="160">
        <f t="shared" si="2"/>
        <v>43138</v>
      </c>
    </row>
    <row r="75" spans="1:8" x14ac:dyDescent="0.35">
      <c r="A75" t="s">
        <v>408</v>
      </c>
      <c r="B75" s="163" t="s">
        <v>414</v>
      </c>
      <c r="C75" s="160">
        <v>43048</v>
      </c>
      <c r="D75" s="6">
        <f>WEEKNUM(C75)</f>
        <v>45</v>
      </c>
      <c r="E75" s="6">
        <f ca="1">C75-TODAY()</f>
        <v>24</v>
      </c>
      <c r="H75" s="160">
        <f t="shared" si="2"/>
        <v>43138</v>
      </c>
    </row>
    <row r="76" spans="1:8" x14ac:dyDescent="0.35">
      <c r="A76" t="s">
        <v>407</v>
      </c>
      <c r="B76" s="194" t="s">
        <v>683</v>
      </c>
      <c r="C76" s="160">
        <v>43053</v>
      </c>
      <c r="D76" s="6">
        <f>WEEKNUM(C76)</f>
        <v>46</v>
      </c>
      <c r="E76" s="6">
        <f ca="1">C76-TODAY()</f>
        <v>29</v>
      </c>
      <c r="H76" s="160">
        <f t="shared" si="2"/>
        <v>43143</v>
      </c>
    </row>
    <row r="77" spans="1:8" x14ac:dyDescent="0.35">
      <c r="A77" t="s">
        <v>407</v>
      </c>
      <c r="B77" s="163" t="s">
        <v>399</v>
      </c>
      <c r="C77" s="160">
        <v>43053</v>
      </c>
      <c r="D77" s="6">
        <f>WEEKNUM(C77)</f>
        <v>46</v>
      </c>
      <c r="E77" s="6">
        <f ca="1">C77-TODAY()</f>
        <v>29</v>
      </c>
      <c r="H77" s="160">
        <f t="shared" si="2"/>
        <v>43143</v>
      </c>
    </row>
    <row r="78" spans="1:8" x14ac:dyDescent="0.35">
      <c r="A78" t="s">
        <v>407</v>
      </c>
      <c r="B78" s="163" t="s">
        <v>405</v>
      </c>
      <c r="C78" s="160">
        <v>43054</v>
      </c>
      <c r="D78" s="6">
        <f>WEEKNUM(C78)</f>
        <v>46</v>
      </c>
      <c r="E78" s="6">
        <f ca="1">C78-TODAY()</f>
        <v>30</v>
      </c>
      <c r="F78" s="160">
        <v>42961</v>
      </c>
      <c r="G78" s="6">
        <f ca="1">IF(LEN(F78)=0,"",F78-TODAY())</f>
        <v>-63</v>
      </c>
      <c r="H78" s="160">
        <f t="shared" si="2"/>
        <v>43144</v>
      </c>
    </row>
    <row r="79" spans="1:8" x14ac:dyDescent="0.35">
      <c r="A79" t="s">
        <v>408</v>
      </c>
      <c r="B79" s="163" t="s">
        <v>385</v>
      </c>
      <c r="C79" s="160">
        <v>43054</v>
      </c>
      <c r="D79" s="6">
        <f>WEEKNUM(C79)</f>
        <v>46</v>
      </c>
      <c r="E79" s="6">
        <f ca="1">C79-TODAY()</f>
        <v>30</v>
      </c>
      <c r="F79" s="160">
        <v>42829</v>
      </c>
      <c r="G79" s="6">
        <f ca="1">IF(LEN(F79)=0,"",F79-TODAY())</f>
        <v>-195</v>
      </c>
      <c r="H79" s="160">
        <f t="shared" si="2"/>
        <v>43144</v>
      </c>
    </row>
    <row r="80" spans="1:8" x14ac:dyDescent="0.35">
      <c r="A80" t="s">
        <v>408</v>
      </c>
      <c r="B80" s="194" t="s">
        <v>685</v>
      </c>
      <c r="C80" s="160">
        <v>43054</v>
      </c>
      <c r="D80" s="6">
        <f>WEEKNUM(C80)</f>
        <v>46</v>
      </c>
      <c r="E80" s="6">
        <f ca="1">C80-TODAY()</f>
        <v>30</v>
      </c>
      <c r="H80" s="160">
        <f t="shared" si="2"/>
        <v>43144</v>
      </c>
    </row>
    <row r="81" spans="1:8" x14ac:dyDescent="0.35">
      <c r="A81" t="s">
        <v>407</v>
      </c>
      <c r="B81" s="163" t="s">
        <v>117</v>
      </c>
      <c r="C81" s="160">
        <v>43055</v>
      </c>
      <c r="D81" s="6">
        <f>WEEKNUM(C81)</f>
        <v>46</v>
      </c>
      <c r="E81" s="6">
        <f ca="1">C81-TODAY()</f>
        <v>31</v>
      </c>
      <c r="F81" s="160">
        <v>42801</v>
      </c>
      <c r="G81" s="6">
        <f ca="1">IF(LEN(F81)=0,"",F81-TODAY())</f>
        <v>-223</v>
      </c>
      <c r="H81" s="160">
        <f t="shared" si="2"/>
        <v>43145</v>
      </c>
    </row>
    <row r="82" spans="1:8" x14ac:dyDescent="0.35">
      <c r="A82" t="s">
        <v>407</v>
      </c>
      <c r="B82" s="163" t="s">
        <v>402</v>
      </c>
      <c r="C82" s="160">
        <v>43055</v>
      </c>
      <c r="D82" s="6">
        <f>WEEKNUM(C82)</f>
        <v>46</v>
      </c>
      <c r="E82" s="6">
        <f ca="1">C82-TODAY()</f>
        <v>31</v>
      </c>
      <c r="G82" s="6" t="str">
        <f ca="1">IF(LEN(F82)=0,"",F82-TODAY())</f>
        <v/>
      </c>
      <c r="H82" s="160">
        <f t="shared" si="2"/>
        <v>43145</v>
      </c>
    </row>
    <row r="83" spans="1:8" x14ac:dyDescent="0.35">
      <c r="A83" t="s">
        <v>408</v>
      </c>
      <c r="B83" s="163" t="s">
        <v>370</v>
      </c>
      <c r="C83" s="160">
        <v>43055</v>
      </c>
      <c r="D83" s="6">
        <f>WEEKNUM(C83)</f>
        <v>46</v>
      </c>
      <c r="E83" s="6">
        <f ca="1">C83-TODAY()</f>
        <v>31</v>
      </c>
      <c r="G83" s="6" t="str">
        <f ca="1">IF(LEN(F83)=0,"",F83-TODAY())</f>
        <v/>
      </c>
      <c r="H83" s="160">
        <f t="shared" si="2"/>
        <v>43145</v>
      </c>
    </row>
    <row r="84" spans="1:8" x14ac:dyDescent="0.35">
      <c r="A84" t="s">
        <v>407</v>
      </c>
      <c r="B84" s="194" t="s">
        <v>617</v>
      </c>
      <c r="C84" s="160">
        <v>43056</v>
      </c>
      <c r="D84" s="6">
        <f>WEEKNUM(C84)</f>
        <v>46</v>
      </c>
      <c r="E84" s="6">
        <f ca="1">C84-TODAY()</f>
        <v>32</v>
      </c>
      <c r="H84" s="160">
        <f t="shared" si="2"/>
        <v>43146</v>
      </c>
    </row>
    <row r="85" spans="1:8" x14ac:dyDescent="0.35">
      <c r="A85" t="s">
        <v>408</v>
      </c>
      <c r="B85" s="163" t="s">
        <v>389</v>
      </c>
      <c r="C85" s="160">
        <v>43059</v>
      </c>
      <c r="D85" s="6">
        <f>WEEKNUM(C85)</f>
        <v>47</v>
      </c>
      <c r="E85" s="6">
        <f ca="1">C85-TODAY()</f>
        <v>35</v>
      </c>
      <c r="H85" s="160">
        <f t="shared" si="2"/>
        <v>43149</v>
      </c>
    </row>
    <row r="86" spans="1:8" x14ac:dyDescent="0.35">
      <c r="A86" t="s">
        <v>408</v>
      </c>
      <c r="B86" s="194" t="s">
        <v>686</v>
      </c>
      <c r="C86" s="160">
        <v>43060</v>
      </c>
      <c r="D86" s="6">
        <f>WEEKNUM(C86)</f>
        <v>47</v>
      </c>
      <c r="E86" s="6">
        <f ca="1">C86-TODAY()</f>
        <v>36</v>
      </c>
      <c r="H86" s="160">
        <f t="shared" si="2"/>
        <v>43150</v>
      </c>
    </row>
    <row r="87" spans="1:8" x14ac:dyDescent="0.35">
      <c r="A87" t="s">
        <v>407</v>
      </c>
      <c r="B87" s="163" t="s">
        <v>373</v>
      </c>
      <c r="C87" s="160">
        <v>43069</v>
      </c>
      <c r="D87" s="6">
        <f>WEEKNUM(C87)</f>
        <v>48</v>
      </c>
      <c r="E87" s="6">
        <f ca="1">C87-TODAY()</f>
        <v>45</v>
      </c>
      <c r="F87" s="160">
        <v>42958</v>
      </c>
      <c r="G87" s="6">
        <f ca="1">IF(LEN(F87)=0,"",F87-TODAY())</f>
        <v>-66</v>
      </c>
      <c r="H87" s="160">
        <f t="shared" si="2"/>
        <v>43159</v>
      </c>
    </row>
    <row r="88" spans="1:8" x14ac:dyDescent="0.35">
      <c r="A88" t="s">
        <v>408</v>
      </c>
      <c r="B88" s="194" t="s">
        <v>616</v>
      </c>
      <c r="C88" s="160">
        <v>43069</v>
      </c>
      <c r="D88" s="6">
        <f>WEEKNUM(C88)</f>
        <v>48</v>
      </c>
      <c r="E88" s="6">
        <f ca="1">C88-TODAY()</f>
        <v>45</v>
      </c>
      <c r="H88" s="160">
        <f t="shared" si="2"/>
        <v>43159</v>
      </c>
    </row>
    <row r="89" spans="1:8" x14ac:dyDescent="0.35">
      <c r="A89" t="s">
        <v>408</v>
      </c>
      <c r="B89" s="163" t="s">
        <v>626</v>
      </c>
      <c r="C89" s="160">
        <v>43074</v>
      </c>
      <c r="D89" s="6">
        <f>WEEKNUM(C89)</f>
        <v>49</v>
      </c>
      <c r="E89" s="6">
        <f ca="1">C89-TODAY()</f>
        <v>50</v>
      </c>
      <c r="H89" s="160">
        <f t="shared" si="2"/>
        <v>43164</v>
      </c>
    </row>
    <row r="90" spans="1:8" x14ac:dyDescent="0.35">
      <c r="A90" t="s">
        <v>408</v>
      </c>
      <c r="B90" s="194" t="s">
        <v>623</v>
      </c>
      <c r="C90" s="160">
        <v>43075</v>
      </c>
      <c r="D90" s="6">
        <f>WEEKNUM(C90)</f>
        <v>49</v>
      </c>
      <c r="E90" s="6">
        <f ca="1">C90-TODAY()</f>
        <v>51</v>
      </c>
      <c r="H90" s="160">
        <f t="shared" si="2"/>
        <v>43165</v>
      </c>
    </row>
    <row r="91" spans="1:8" x14ac:dyDescent="0.35">
      <c r="A91" t="s">
        <v>407</v>
      </c>
      <c r="B91" s="194" t="s">
        <v>430</v>
      </c>
      <c r="C91" s="160">
        <v>43076</v>
      </c>
      <c r="D91" s="6">
        <f>WEEKNUM(C91)</f>
        <v>49</v>
      </c>
      <c r="E91" s="6">
        <f ca="1">C91-TODAY()</f>
        <v>52</v>
      </c>
      <c r="H91" s="160">
        <f t="shared" si="2"/>
        <v>43166</v>
      </c>
    </row>
    <row r="92" spans="1:8" x14ac:dyDescent="0.35">
      <c r="A92" t="s">
        <v>408</v>
      </c>
      <c r="B92" s="194" t="s">
        <v>622</v>
      </c>
      <c r="C92" s="160">
        <v>43076</v>
      </c>
      <c r="D92" s="6">
        <f>WEEKNUM(C92)</f>
        <v>49</v>
      </c>
      <c r="E92" s="6">
        <f ca="1">C92-TODAY()</f>
        <v>52</v>
      </c>
      <c r="H92" s="160">
        <f t="shared" si="2"/>
        <v>43166</v>
      </c>
    </row>
    <row r="94" spans="1:8" x14ac:dyDescent="0.35">
      <c r="B94" t="s">
        <v>0</v>
      </c>
      <c r="F94" s="160">
        <v>42995</v>
      </c>
      <c r="G94" s="6">
        <f ca="1">IF(LEN(F94)=0,"",F94-TODAY())</f>
        <v>-29</v>
      </c>
    </row>
    <row r="95" spans="1:8" x14ac:dyDescent="0.35">
      <c r="A95" t="s">
        <v>437</v>
      </c>
      <c r="B95" s="194" t="s">
        <v>657</v>
      </c>
    </row>
  </sheetData>
  <autoFilter ref="A4:H92" xr:uid="{00000000-0009-0000-0000-000004000000}"/>
  <sortState ref="A5:G92">
    <sortCondition ref="E5:E92"/>
    <sortCondition descending="1" ref="A5:A92"/>
  </sortState>
  <hyperlinks>
    <hyperlink ref="C1" r:id="rId1" xr:uid="{00000000-0004-0000-0400-000000000000}"/>
    <hyperlink ref="C2" r:id="rId2" xr:uid="{00000000-0004-0000-0400-000001000000}"/>
    <hyperlink ref="C3" r:id="rId3" xr:uid="{00000000-0004-0000-0400-000002000000}"/>
  </hyperlinks>
  <pageMargins left="0.7" right="0.7" top="0.75" bottom="0.75" header="0.3" footer="0.3"/>
  <pageSetup orientation="portrait" horizontalDpi="1200" verticalDpi="1200"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1"/>
  <dimension ref="A2:S49"/>
  <sheetViews>
    <sheetView showGridLines="0" topLeftCell="B22" workbookViewId="0">
      <selection activeCell="G37" sqref="G37"/>
    </sheetView>
  </sheetViews>
  <sheetFormatPr defaultColWidth="9.1796875" defaultRowHeight="12.5" x14ac:dyDescent="0.25"/>
  <cols>
    <col min="1" max="1" width="9.1796875" style="11"/>
    <col min="2" max="2" width="16.54296875" style="10" bestFit="1" customWidth="1"/>
    <col min="3" max="4" width="10.7265625" style="11" customWidth="1"/>
    <col min="5" max="11" width="9.1796875" style="11"/>
    <col min="12" max="12" width="20.54296875" style="11" bestFit="1" customWidth="1"/>
    <col min="13" max="13" width="6.81640625" style="11" customWidth="1"/>
    <col min="14" max="14" width="10.1796875" style="11" bestFit="1" customWidth="1"/>
    <col min="15" max="16384" width="9.1796875" style="11"/>
  </cols>
  <sheetData>
    <row r="2" spans="1:17" ht="15.5" x14ac:dyDescent="0.35">
      <c r="A2" s="11" t="s">
        <v>67</v>
      </c>
      <c r="B2" s="288" t="s">
        <v>37</v>
      </c>
      <c r="C2" s="289"/>
      <c r="D2" s="289"/>
      <c r="E2" s="289"/>
      <c r="F2" s="289"/>
      <c r="G2" s="289"/>
      <c r="H2" s="289"/>
      <c r="I2" s="289"/>
      <c r="J2" s="289"/>
      <c r="K2" s="289"/>
      <c r="L2" s="289"/>
      <c r="M2" s="289"/>
      <c r="N2" s="289"/>
      <c r="O2" s="289"/>
      <c r="P2" s="289"/>
      <c r="Q2" s="289"/>
    </row>
    <row r="4" spans="1:17" ht="13" x14ac:dyDescent="0.3">
      <c r="F4" s="14" t="s">
        <v>29</v>
      </c>
      <c r="N4" s="11" t="s">
        <v>344</v>
      </c>
    </row>
    <row r="5" spans="1:17" x14ac:dyDescent="0.25">
      <c r="F5" s="13" t="s">
        <v>38</v>
      </c>
      <c r="G5" s="68">
        <v>98</v>
      </c>
      <c r="H5" s="13" t="s">
        <v>39</v>
      </c>
      <c r="N5" s="110">
        <f>N6-N7</f>
        <v>8</v>
      </c>
    </row>
    <row r="6" spans="1:17" x14ac:dyDescent="0.25">
      <c r="F6" s="13" t="s">
        <v>7</v>
      </c>
      <c r="G6" s="68">
        <v>100</v>
      </c>
      <c r="H6" s="13" t="s">
        <v>40</v>
      </c>
      <c r="N6" s="109">
        <v>42951</v>
      </c>
    </row>
    <row r="7" spans="1:17" x14ac:dyDescent="0.25">
      <c r="F7" s="13" t="s">
        <v>41</v>
      </c>
      <c r="G7" s="11">
        <v>30</v>
      </c>
      <c r="H7" s="10"/>
      <c r="N7" s="109">
        <v>42943</v>
      </c>
    </row>
    <row r="8" spans="1:17" x14ac:dyDescent="0.25">
      <c r="F8" s="13" t="s">
        <v>42</v>
      </c>
      <c r="G8" s="15">
        <f>G7/365</f>
        <v>8.2191780821917804E-2</v>
      </c>
      <c r="H8" s="13" t="s">
        <v>43</v>
      </c>
      <c r="I8" s="12" t="s">
        <v>44</v>
      </c>
      <c r="O8" s="11">
        <f>7+(1.25/6.5)</f>
        <v>7.1923076923076925</v>
      </c>
    </row>
    <row r="9" spans="1:17" x14ac:dyDescent="0.25">
      <c r="F9" s="13" t="s">
        <v>45</v>
      </c>
      <c r="G9" s="16">
        <v>0.25</v>
      </c>
      <c r="H9" s="13" t="s">
        <v>46</v>
      </c>
      <c r="I9" s="12" t="s">
        <v>648</v>
      </c>
    </row>
    <row r="11" spans="1:17" x14ac:dyDescent="0.25">
      <c r="B11" s="13"/>
    </row>
    <row r="12" spans="1:17" ht="13" x14ac:dyDescent="0.3">
      <c r="B12" s="17"/>
      <c r="C12" s="18"/>
      <c r="D12" s="18"/>
      <c r="F12" s="12" t="s">
        <v>47</v>
      </c>
      <c r="L12" s="12"/>
      <c r="M12" s="12"/>
    </row>
    <row r="13" spans="1:17" x14ac:dyDescent="0.25">
      <c r="B13" s="19"/>
      <c r="C13" s="20"/>
      <c r="D13" s="20"/>
      <c r="K13" s="21"/>
    </row>
    <row r="14" spans="1:17" x14ac:dyDescent="0.25">
      <c r="G14" s="15"/>
    </row>
    <row r="15" spans="1:17" ht="13" x14ac:dyDescent="0.3">
      <c r="F15" s="14" t="s">
        <v>48</v>
      </c>
    </row>
    <row r="16" spans="1:17" x14ac:dyDescent="0.25">
      <c r="F16" s="12" t="s">
        <v>49</v>
      </c>
      <c r="G16" s="22">
        <f>LN($G$5/$G$6)/($G$9*SQRT($G$8))</f>
        <v>-0.28187422706300241</v>
      </c>
      <c r="H16" s="23" t="s">
        <v>650</v>
      </c>
      <c r="L16" s="77"/>
      <c r="M16" s="77"/>
    </row>
    <row r="17" spans="5:19" x14ac:dyDescent="0.25">
      <c r="F17" s="12" t="s">
        <v>50</v>
      </c>
      <c r="G17" s="22">
        <f>$G$16+$G$9*SQRT($G$8)/2</f>
        <v>-0.24603784087044017</v>
      </c>
      <c r="H17" s="23" t="s">
        <v>290</v>
      </c>
    </row>
    <row r="18" spans="5:19" x14ac:dyDescent="0.25">
      <c r="F18" s="12" t="s">
        <v>51</v>
      </c>
      <c r="G18" s="76">
        <f>$G$16-$G$9*SQRT($G$8)/2</f>
        <v>-0.31771061325556466</v>
      </c>
      <c r="H18" s="23" t="s">
        <v>52</v>
      </c>
    </row>
    <row r="19" spans="5:19" x14ac:dyDescent="0.25">
      <c r="F19" s="12" t="s">
        <v>53</v>
      </c>
      <c r="G19" s="22">
        <f>NORMDIST($G$17,0,1,TRUE)</f>
        <v>0.40282646993887744</v>
      </c>
      <c r="H19" s="23" t="s">
        <v>638</v>
      </c>
    </row>
    <row r="20" spans="5:19" x14ac:dyDescent="0.25">
      <c r="F20" s="12" t="s">
        <v>54</v>
      </c>
      <c r="G20" s="22">
        <f>NORMDIST($G$18,0,1,TRUE)</f>
        <v>0.37535222991571615</v>
      </c>
      <c r="H20" s="23" t="s">
        <v>55</v>
      </c>
    </row>
    <row r="21" spans="5:19" x14ac:dyDescent="0.25">
      <c r="F21" s="12"/>
      <c r="G21" s="22"/>
      <c r="H21" s="23"/>
      <c r="L21" s="11" t="s">
        <v>218</v>
      </c>
      <c r="M21" s="11" t="s">
        <v>276</v>
      </c>
    </row>
    <row r="22" spans="5:19" x14ac:dyDescent="0.25">
      <c r="E22" s="13" t="s">
        <v>56</v>
      </c>
      <c r="F22" s="12" t="s">
        <v>57</v>
      </c>
      <c r="G22" s="24">
        <f>$G$5*$G$19-$G$6*$G$20</f>
        <v>1.9417710624383773</v>
      </c>
      <c r="H22" s="23" t="s">
        <v>58</v>
      </c>
      <c r="K22" s="73">
        <f>G22/G$6</f>
        <v>1.9417710624383772E-2</v>
      </c>
      <c r="L22" s="24">
        <f>G$23*G$19+G$25*EXP(-0.5*G$17^2)</f>
        <v>2.7740823175648464</v>
      </c>
      <c r="M22" s="85">
        <f>(L22-G$22)/G$22</f>
        <v>0.42863511112442626</v>
      </c>
      <c r="N22" s="23" t="s">
        <v>217</v>
      </c>
      <c r="S22" s="11" t="s">
        <v>216</v>
      </c>
    </row>
    <row r="23" spans="5:19" x14ac:dyDescent="0.25">
      <c r="E23" s="10" t="s">
        <v>35</v>
      </c>
      <c r="F23" s="12" t="s">
        <v>213</v>
      </c>
      <c r="G23" s="24">
        <f>MAX(0,$G$5-$G$6)</f>
        <v>0</v>
      </c>
      <c r="H23" s="23" t="s">
        <v>65</v>
      </c>
      <c r="K23" s="73">
        <f>G23/G$6</f>
        <v>0</v>
      </c>
      <c r="N23" s="11" t="s">
        <v>294</v>
      </c>
      <c r="S23" s="11" t="s">
        <v>216</v>
      </c>
    </row>
    <row r="24" spans="5:19" x14ac:dyDescent="0.25">
      <c r="E24" s="13" t="s">
        <v>36</v>
      </c>
      <c r="F24" s="12"/>
      <c r="G24" s="24">
        <f>G22-G23</f>
        <v>1.9417710624383773</v>
      </c>
      <c r="H24" s="23"/>
      <c r="K24" s="73">
        <f>G24/G$6</f>
        <v>1.9417710624383772E-2</v>
      </c>
      <c r="L24" s="24">
        <f>G$23+G$25*EXP(-G$26/G$30)</f>
        <v>2.8593299258014393</v>
      </c>
      <c r="M24" s="85">
        <f>(L24-G$22)/G$22</f>
        <v>0.47253709827709467</v>
      </c>
      <c r="N24" s="11" t="s">
        <v>288</v>
      </c>
      <c r="S24" s="11" t="s">
        <v>271</v>
      </c>
    </row>
    <row r="25" spans="5:19" x14ac:dyDescent="0.25">
      <c r="E25" s="13" t="s">
        <v>286</v>
      </c>
      <c r="F25" s="12"/>
      <c r="G25" s="24">
        <f>(1/SQRT(2*PI())*SQRT(G8)*G9)*G6</f>
        <v>2.8593299258014393</v>
      </c>
      <c r="H25" s="23" t="s">
        <v>295</v>
      </c>
      <c r="K25" s="73">
        <f>G25/G$6</f>
        <v>2.8593299258014394E-2</v>
      </c>
      <c r="L25" s="24">
        <f>G$23+G$25*EXP(-G$26/G$29)</f>
        <v>2.8593299258014393</v>
      </c>
      <c r="M25" s="85">
        <f>(L25-G$22)/G$22</f>
        <v>0.47253709827709467</v>
      </c>
      <c r="N25" s="11" t="s">
        <v>289</v>
      </c>
      <c r="S25" s="11" t="s">
        <v>272</v>
      </c>
    </row>
    <row r="26" spans="5:19" x14ac:dyDescent="0.25">
      <c r="E26" s="13" t="s">
        <v>291</v>
      </c>
      <c r="F26" s="12"/>
      <c r="G26" s="73">
        <f>ABS(G23)/G6</f>
        <v>0</v>
      </c>
      <c r="H26" s="23" t="s">
        <v>219</v>
      </c>
      <c r="J26" s="73"/>
      <c r="K26" s="73">
        <f>LN(G5/G6)</f>
        <v>-2.0202707317519466E-2</v>
      </c>
      <c r="L26" s="24">
        <f>G$23*1.5+G$25</f>
        <v>2.8593299258014393</v>
      </c>
      <c r="M26" s="85">
        <f>(L26-G$22)/G$22</f>
        <v>0.47253709827709467</v>
      </c>
    </row>
    <row r="27" spans="5:19" x14ac:dyDescent="0.25">
      <c r="E27" s="13" t="s">
        <v>95</v>
      </c>
      <c r="F27" s="12"/>
      <c r="G27" s="24">
        <f>G19</f>
        <v>0.40282646993887744</v>
      </c>
      <c r="H27" s="23"/>
      <c r="J27" s="73"/>
    </row>
    <row r="28" spans="5:19" x14ac:dyDescent="0.25">
      <c r="E28" s="13" t="s">
        <v>96</v>
      </c>
      <c r="F28" s="12"/>
      <c r="G28" s="24">
        <f>-1/365*(G5*G9)/(2*SQRT(G8))*EXP(-0.5*G17^2)/SQRT(2*PI())</f>
        <v>-4.5310011186892499E-2</v>
      </c>
      <c r="H28" s="23"/>
      <c r="J28" s="73"/>
    </row>
    <row r="29" spans="5:19" x14ac:dyDescent="0.25">
      <c r="E29" s="13" t="s">
        <v>255</v>
      </c>
      <c r="F29" s="12"/>
      <c r="G29" s="24">
        <f>G9*SQRT(G8)</f>
        <v>7.1672772385124484E-2</v>
      </c>
      <c r="H29" s="23" t="s">
        <v>269</v>
      </c>
    </row>
    <row r="30" spans="5:19" x14ac:dyDescent="0.25">
      <c r="E30" s="13" t="s">
        <v>249</v>
      </c>
      <c r="F30" s="12"/>
      <c r="G30" s="24">
        <f>G29*(1-1/(0.5+100*G26)*G29)</f>
        <v>6.1398799782384758E-2</v>
      </c>
      <c r="H30" s="23" t="s">
        <v>270</v>
      </c>
    </row>
    <row r="31" spans="5:19" x14ac:dyDescent="0.25">
      <c r="E31" s="13"/>
      <c r="F31" s="12"/>
      <c r="G31" s="24"/>
      <c r="H31" s="23"/>
    </row>
    <row r="32" spans="5:19" x14ac:dyDescent="0.25">
      <c r="E32" s="13"/>
      <c r="F32" s="12"/>
      <c r="G32" s="24"/>
      <c r="H32" s="23"/>
    </row>
    <row r="33" spans="2:13" x14ac:dyDescent="0.25">
      <c r="E33" s="13" t="s">
        <v>59</v>
      </c>
      <c r="F33" s="12" t="s">
        <v>60</v>
      </c>
      <c r="G33" s="24">
        <f>$G$22+($G$6-$G$5)</f>
        <v>3.9417710624383773</v>
      </c>
      <c r="H33" s="23" t="s">
        <v>61</v>
      </c>
    </row>
    <row r="34" spans="2:13" x14ac:dyDescent="0.25">
      <c r="E34" s="10" t="s">
        <v>35</v>
      </c>
      <c r="G34" s="24">
        <f>MAX(0,$G$6-$G$5)</f>
        <v>2</v>
      </c>
      <c r="H34" s="11" t="s">
        <v>66</v>
      </c>
    </row>
    <row r="35" spans="2:13" x14ac:dyDescent="0.25">
      <c r="E35" s="13" t="s">
        <v>36</v>
      </c>
      <c r="G35" s="24">
        <f>G33-G34</f>
        <v>1.9417710624383773</v>
      </c>
    </row>
    <row r="36" spans="2:13" x14ac:dyDescent="0.25">
      <c r="E36" s="13" t="s">
        <v>95</v>
      </c>
      <c r="F36" s="12"/>
      <c r="G36" s="24">
        <f>1-G19</f>
        <v>0.5971735300611225</v>
      </c>
    </row>
    <row r="37" spans="2:13" x14ac:dyDescent="0.25">
      <c r="E37" s="13" t="s">
        <v>96</v>
      </c>
      <c r="F37" s="12"/>
      <c r="G37" s="24">
        <f>G28</f>
        <v>-4.5310011186892499E-2</v>
      </c>
    </row>
    <row r="38" spans="2:13" x14ac:dyDescent="0.25">
      <c r="E38" s="13" t="s">
        <v>646</v>
      </c>
      <c r="F38" s="12"/>
      <c r="G38" s="73">
        <f>(G5-G6)/G5</f>
        <v>-2.0408163265306121E-2</v>
      </c>
      <c r="H38" s="11" t="s">
        <v>652</v>
      </c>
    </row>
    <row r="39" spans="2:13" x14ac:dyDescent="0.25">
      <c r="E39" s="13" t="s">
        <v>647</v>
      </c>
      <c r="F39" s="12"/>
      <c r="G39" s="73">
        <f>G9*SQRT(G8)</f>
        <v>7.1672772385124484E-2</v>
      </c>
      <c r="H39" s="11" t="s">
        <v>651</v>
      </c>
    </row>
    <row r="40" spans="2:13" ht="14.5" x14ac:dyDescent="0.35">
      <c r="E40" s="13" t="s">
        <v>645</v>
      </c>
      <c r="G40" s="8">
        <f>_xlfn.NORM.DIST(G38/G39,0,1,TRUE)</f>
        <v>0.38792136119448206</v>
      </c>
      <c r="H40" s="11" t="s">
        <v>653</v>
      </c>
    </row>
    <row r="42" spans="2:13" x14ac:dyDescent="0.25">
      <c r="E42" s="11" t="s">
        <v>182</v>
      </c>
      <c r="F42" s="11" t="s">
        <v>43</v>
      </c>
      <c r="H42" s="11" t="s">
        <v>182</v>
      </c>
      <c r="I42" s="11" t="s">
        <v>43</v>
      </c>
      <c r="K42" s="11" t="s">
        <v>182</v>
      </c>
      <c r="L42" s="11" t="s">
        <v>43</v>
      </c>
    </row>
    <row r="43" spans="2:13" x14ac:dyDescent="0.25">
      <c r="E43" s="16">
        <v>0.2</v>
      </c>
      <c r="F43" s="11">
        <v>10</v>
      </c>
      <c r="H43" s="16">
        <v>0.3</v>
      </c>
      <c r="I43" s="11">
        <v>10</v>
      </c>
      <c r="K43" s="16">
        <v>0.4</v>
      </c>
      <c r="L43" s="11">
        <v>10</v>
      </c>
    </row>
    <row r="44" spans="2:13" x14ac:dyDescent="0.25">
      <c r="B44" s="10" t="s">
        <v>63</v>
      </c>
      <c r="E44" s="250" t="s">
        <v>649</v>
      </c>
      <c r="F44" s="250" t="s">
        <v>645</v>
      </c>
      <c r="G44" s="250" t="s">
        <v>391</v>
      </c>
      <c r="H44" s="250" t="s">
        <v>649</v>
      </c>
      <c r="I44" s="250" t="s">
        <v>645</v>
      </c>
      <c r="J44" s="250" t="s">
        <v>391</v>
      </c>
      <c r="K44" s="250" t="s">
        <v>649</v>
      </c>
      <c r="L44" s="250" t="s">
        <v>645</v>
      </c>
      <c r="M44" s="250" t="s">
        <v>391</v>
      </c>
    </row>
    <row r="45" spans="2:13" ht="14.5" x14ac:dyDescent="0.35">
      <c r="B45" s="10" t="s">
        <v>64</v>
      </c>
      <c r="E45" s="254">
        <v>0.01</v>
      </c>
      <c r="F45" s="8">
        <f>_xlfn.NORM.DIST(E45/(E$43*SQRT(F$43/365)),0,1,TRUE)</f>
        <v>0.61870299314298371</v>
      </c>
      <c r="G45" s="250"/>
      <c r="H45" s="254">
        <v>0.01</v>
      </c>
      <c r="I45" s="8">
        <f>_xlfn.NORM.DIST(H45/(H$43*SQRT(I$43/365)),0,1,TRUE)</f>
        <v>0.57980087638059152</v>
      </c>
      <c r="J45" s="250"/>
      <c r="K45" s="254">
        <v>0.01</v>
      </c>
      <c r="L45" s="8">
        <f>_xlfn.NORM.DIST(K45/(K$43*SQRT(L$43/365)),0,1,TRUE)</f>
        <v>0.56002715941779657</v>
      </c>
    </row>
    <row r="46" spans="2:13" ht="14.5" x14ac:dyDescent="0.35">
      <c r="E46" s="254">
        <v>0.02</v>
      </c>
      <c r="F46" s="8">
        <f>_xlfn.NORM.DIST(E46/(E$43*SQRT(F$43/365)),0,1,TRUE)</f>
        <v>0.72712880419441084</v>
      </c>
      <c r="G46" s="250"/>
      <c r="H46" s="254">
        <v>0.02</v>
      </c>
      <c r="I46" s="8">
        <f>_xlfn.NORM.DIST(H46/(H$43*SQRT(I$43/365)),0,1,TRUE)</f>
        <v>0.65644062119052793</v>
      </c>
      <c r="J46" s="250"/>
      <c r="K46" s="254">
        <v>0.02</v>
      </c>
      <c r="L46" s="8">
        <f>_xlfn.NORM.DIST(K46/(K$43*SQRT(L$43/365)),0,1,TRUE)</f>
        <v>0.61870299314298371</v>
      </c>
    </row>
    <row r="47" spans="2:13" ht="14.5" x14ac:dyDescent="0.35">
      <c r="E47" s="254">
        <v>0.03</v>
      </c>
      <c r="F47" s="8">
        <f>_xlfn.NORM.DIST(E47/(E$43*SQRT(F$43/365)),0,1,TRUE)</f>
        <v>0.81759252572003238</v>
      </c>
      <c r="G47" s="250"/>
      <c r="H47" s="254">
        <v>0.03</v>
      </c>
      <c r="I47" s="8">
        <f>_xlfn.NORM.DIST(H47/(H$43*SQRT(I$43/365)),0,1,TRUE)</f>
        <v>0.72712880419441084</v>
      </c>
      <c r="J47" s="250"/>
      <c r="K47" s="254">
        <v>0.03</v>
      </c>
      <c r="L47" s="8">
        <f>_xlfn.NORM.DIST(K47/(K$43*SQRT(L$43/365)),0,1,TRUE)</f>
        <v>0.67476675326961955</v>
      </c>
    </row>
    <row r="48" spans="2:13" ht="14.5" x14ac:dyDescent="0.35">
      <c r="E48" s="254">
        <v>0.04</v>
      </c>
      <c r="F48" s="8">
        <f>_xlfn.NORM.DIST(E48/(E$43*SQRT(F$43/365)),0,1,TRUE)</f>
        <v>0.88653493962494456</v>
      </c>
      <c r="G48" s="250"/>
      <c r="H48" s="254">
        <v>0.04</v>
      </c>
      <c r="I48" s="8">
        <f>_xlfn.NORM.DIST(H48/(H$43*SQRT(I$43/365)),0,1,TRUE)</f>
        <v>0.78974489447505458</v>
      </c>
      <c r="J48" s="250"/>
      <c r="K48" s="254">
        <v>0.04</v>
      </c>
      <c r="L48" s="8">
        <f>_xlfn.NORM.DIST(K48/(K$43*SQRT(L$43/365)),0,1,TRUE)</f>
        <v>0.72712880419441084</v>
      </c>
    </row>
    <row r="49" spans="5:12" ht="14.5" x14ac:dyDescent="0.35">
      <c r="E49" s="254">
        <v>0.05</v>
      </c>
      <c r="F49" s="8">
        <f>_xlfn.NORM.DIST(E49/(E$43*SQRT(F$43/365)),0,1,TRUE)</f>
        <v>0.9345268507358403</v>
      </c>
      <c r="G49" s="250"/>
      <c r="H49" s="254">
        <v>0.05</v>
      </c>
      <c r="I49" s="8">
        <f>_xlfn.NORM.DIST(H49/(H$43*SQRT(I$43/365)),0,1,TRUE)</f>
        <v>0.84301350959430499</v>
      </c>
      <c r="J49" s="250"/>
      <c r="K49" s="254">
        <v>0.05</v>
      </c>
      <c r="L49" s="8">
        <f>_xlfn.NORM.DIST(K49/(K$43*SQRT(L$43/365)),0,1,TRUE)</f>
        <v>0.7749326180337317</v>
      </c>
    </row>
  </sheetData>
  <mergeCells count="1">
    <mergeCell ref="B2:Q2"/>
  </mergeCells>
  <pageMargins left="0.75" right="0.75" top="1" bottom="1" header="0.5" footer="0.5"/>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1"/>
  <dimension ref="A2:DK90"/>
  <sheetViews>
    <sheetView topLeftCell="A52" zoomScaleNormal="100" workbookViewId="0">
      <selection activeCell="H63" sqref="H63"/>
    </sheetView>
  </sheetViews>
  <sheetFormatPr defaultRowHeight="14.5" x14ac:dyDescent="0.35"/>
  <cols>
    <col min="1" max="1" width="45.1796875" customWidth="1"/>
    <col min="3" max="3" width="14" bestFit="1" customWidth="1"/>
    <col min="5" max="5" width="10" bestFit="1" customWidth="1"/>
    <col min="6" max="6" width="5" customWidth="1"/>
    <col min="7" max="7" width="35.453125" customWidth="1"/>
    <col min="8" max="8" width="14.54296875" customWidth="1"/>
    <col min="9" max="9" width="11.453125" customWidth="1"/>
    <col min="10" max="10" width="13" customWidth="1"/>
    <col min="11" max="11" width="10.26953125" customWidth="1"/>
    <col min="12" max="12" width="10.453125" customWidth="1"/>
    <col min="13" max="14" width="11.1796875" bestFit="1" customWidth="1"/>
    <col min="15" max="15" width="10.1796875" bestFit="1" customWidth="1"/>
    <col min="16" max="16" width="9.81640625" bestFit="1" customWidth="1"/>
    <col min="17" max="17" width="11.1796875" customWidth="1"/>
    <col min="18" max="18" width="9" customWidth="1"/>
    <col min="20" max="20" width="9.54296875" customWidth="1"/>
    <col min="21" max="21" width="11.453125" customWidth="1"/>
    <col min="22" max="22" width="10" bestFit="1" customWidth="1"/>
  </cols>
  <sheetData>
    <row r="2" spans="1:26" x14ac:dyDescent="0.35">
      <c r="G2" t="s">
        <v>20</v>
      </c>
      <c r="H2" s="4" t="s">
        <v>21</v>
      </c>
    </row>
    <row r="4" spans="1:26" ht="18.5" x14ac:dyDescent="0.45">
      <c r="A4" t="s">
        <v>12</v>
      </c>
      <c r="B4" t="s">
        <v>16</v>
      </c>
      <c r="C4" t="s">
        <v>17</v>
      </c>
      <c r="D4" t="s">
        <v>18</v>
      </c>
      <c r="E4" t="s">
        <v>32</v>
      </c>
      <c r="G4" s="1" t="s">
        <v>12</v>
      </c>
      <c r="H4" s="1" t="s">
        <v>19</v>
      </c>
    </row>
    <row r="5" spans="1:26" x14ac:dyDescent="0.35">
      <c r="A5" t="s">
        <v>13</v>
      </c>
      <c r="B5" s="3">
        <v>7</v>
      </c>
      <c r="C5" s="3">
        <v>10</v>
      </c>
      <c r="D5" s="3">
        <v>2</v>
      </c>
      <c r="E5" s="3">
        <v>25</v>
      </c>
      <c r="G5" t="s">
        <v>13</v>
      </c>
      <c r="H5" s="3">
        <v>5</v>
      </c>
      <c r="J5" t="s">
        <v>62</v>
      </c>
    </row>
    <row r="6" spans="1:26" x14ac:dyDescent="0.35">
      <c r="A6" t="s">
        <v>14</v>
      </c>
      <c r="B6" s="3">
        <v>1.25</v>
      </c>
      <c r="C6" s="3">
        <v>0.75</v>
      </c>
      <c r="D6" s="3">
        <v>1</v>
      </c>
      <c r="E6" s="3">
        <v>1.8</v>
      </c>
      <c r="G6" t="s">
        <v>14</v>
      </c>
      <c r="H6" s="3">
        <v>0</v>
      </c>
    </row>
    <row r="7" spans="1:26" x14ac:dyDescent="0.35">
      <c r="A7" t="s">
        <v>15</v>
      </c>
      <c r="B7" s="3">
        <v>17</v>
      </c>
      <c r="C7" s="3">
        <v>20</v>
      </c>
      <c r="D7" s="3">
        <v>20</v>
      </c>
      <c r="E7" s="3">
        <v>30</v>
      </c>
      <c r="G7" t="s">
        <v>15</v>
      </c>
      <c r="H7" s="3">
        <v>17</v>
      </c>
    </row>
    <row r="8" spans="1:26" x14ac:dyDescent="0.35">
      <c r="G8" t="s">
        <v>177</v>
      </c>
      <c r="H8" s="25">
        <v>42664</v>
      </c>
      <c r="I8" s="70">
        <f ca="1">(H8-TODAY())/365*50</f>
        <v>-49.315068493150683</v>
      </c>
    </row>
    <row r="9" spans="1:26" x14ac:dyDescent="0.35">
      <c r="H9" s="3"/>
    </row>
    <row r="10" spans="1:26" ht="18.5" x14ac:dyDescent="0.45">
      <c r="G10" s="1" t="s">
        <v>2</v>
      </c>
    </row>
    <row r="11" spans="1:26" x14ac:dyDescent="0.35">
      <c r="F11" s="283" t="s">
        <v>29</v>
      </c>
      <c r="G11" t="s">
        <v>11</v>
      </c>
      <c r="H11" s="2" t="s">
        <v>346</v>
      </c>
      <c r="I11" s="2" t="s">
        <v>374</v>
      </c>
      <c r="J11" s="2" t="s">
        <v>1</v>
      </c>
      <c r="K11" s="2" t="s">
        <v>355</v>
      </c>
      <c r="L11" s="2" t="s">
        <v>87</v>
      </c>
      <c r="M11" s="2" t="s">
        <v>368</v>
      </c>
      <c r="N11" s="2" t="s">
        <v>1</v>
      </c>
      <c r="O11" s="2" t="s">
        <v>356</v>
      </c>
      <c r="P11" s="82" t="s">
        <v>184</v>
      </c>
      <c r="Q11" s="88" t="s">
        <v>370</v>
      </c>
      <c r="R11" s="2" t="s">
        <v>93</v>
      </c>
      <c r="S11" s="125" t="s">
        <v>366</v>
      </c>
      <c r="T11" s="129" t="s">
        <v>384</v>
      </c>
      <c r="U11" s="135" t="s">
        <v>362</v>
      </c>
      <c r="V11" s="135" t="s">
        <v>92</v>
      </c>
      <c r="W11" s="135" t="s">
        <v>338</v>
      </c>
      <c r="X11" s="151" t="s">
        <v>373</v>
      </c>
      <c r="Y11" s="151" t="s">
        <v>374</v>
      </c>
      <c r="Z11" s="152" t="s">
        <v>374</v>
      </c>
    </row>
    <row r="12" spans="1:26" x14ac:dyDescent="0.35">
      <c r="F12" s="284"/>
      <c r="G12" t="s">
        <v>7</v>
      </c>
      <c r="H12" s="3">
        <v>55</v>
      </c>
      <c r="I12" s="3">
        <v>15.5</v>
      </c>
      <c r="J12" s="3">
        <v>107</v>
      </c>
      <c r="K12" s="3">
        <v>117</v>
      </c>
      <c r="L12" s="3">
        <v>755</v>
      </c>
      <c r="M12" s="3">
        <v>770</v>
      </c>
      <c r="N12" s="3">
        <v>107</v>
      </c>
      <c r="O12" s="3">
        <v>120</v>
      </c>
      <c r="P12" s="3">
        <v>28.5</v>
      </c>
      <c r="Q12" s="3">
        <v>68.5</v>
      </c>
      <c r="R12" s="3">
        <v>52.5</v>
      </c>
      <c r="S12" s="3">
        <v>22.5</v>
      </c>
      <c r="T12" s="3">
        <v>66</v>
      </c>
      <c r="U12" s="3">
        <v>128</v>
      </c>
      <c r="V12" s="3">
        <v>30</v>
      </c>
      <c r="W12" s="3">
        <v>50</v>
      </c>
      <c r="X12" s="3">
        <v>30</v>
      </c>
      <c r="Y12" s="3">
        <v>20</v>
      </c>
      <c r="Z12" s="3">
        <v>21</v>
      </c>
    </row>
    <row r="13" spans="1:26" x14ac:dyDescent="0.35">
      <c r="F13" s="284"/>
      <c r="G13" t="s">
        <v>30</v>
      </c>
      <c r="H13" s="3">
        <v>0.5</v>
      </c>
      <c r="I13" s="3">
        <v>0.28000000000000003</v>
      </c>
      <c r="J13" s="3">
        <v>0.85</v>
      </c>
      <c r="K13" s="3">
        <v>0.34</v>
      </c>
      <c r="L13" s="3">
        <v>5.5</v>
      </c>
      <c r="M13" s="3">
        <v>4.7</v>
      </c>
      <c r="N13" s="3">
        <v>0.8</v>
      </c>
      <c r="O13" s="3">
        <v>1.5</v>
      </c>
      <c r="P13" s="3">
        <v>0.35</v>
      </c>
      <c r="Q13" s="3">
        <v>0.85</v>
      </c>
      <c r="R13" s="3">
        <v>0.7</v>
      </c>
      <c r="S13" s="3">
        <v>0.4</v>
      </c>
      <c r="T13" s="3">
        <v>0.5</v>
      </c>
      <c r="U13" s="3">
        <v>0.9</v>
      </c>
      <c r="V13" s="3">
        <v>0.26</v>
      </c>
      <c r="W13" s="3">
        <v>0.35</v>
      </c>
      <c r="X13" s="3">
        <v>0.25</v>
      </c>
      <c r="Y13" s="3">
        <v>0.4</v>
      </c>
      <c r="Z13" s="3">
        <v>0.2</v>
      </c>
    </row>
    <row r="14" spans="1:26" x14ac:dyDescent="0.35">
      <c r="F14" s="284"/>
      <c r="G14" t="s">
        <v>3</v>
      </c>
      <c r="H14" s="6">
        <v>10</v>
      </c>
      <c r="I14" s="2">
        <v>5</v>
      </c>
      <c r="J14" s="2">
        <v>3</v>
      </c>
      <c r="K14" s="6">
        <v>4</v>
      </c>
      <c r="L14" s="6">
        <v>1</v>
      </c>
      <c r="M14" s="2">
        <v>2</v>
      </c>
      <c r="N14" s="6">
        <v>3</v>
      </c>
      <c r="O14" s="6">
        <v>2</v>
      </c>
      <c r="P14" s="6">
        <v>4</v>
      </c>
      <c r="Q14" s="6">
        <v>3</v>
      </c>
      <c r="R14" s="6">
        <v>2</v>
      </c>
      <c r="S14" s="6">
        <v>3</v>
      </c>
      <c r="T14" s="6">
        <v>1</v>
      </c>
      <c r="U14" s="6">
        <v>1</v>
      </c>
      <c r="V14" s="6">
        <v>10</v>
      </c>
      <c r="W14" s="6">
        <v>2</v>
      </c>
      <c r="X14" s="6">
        <v>3</v>
      </c>
      <c r="Y14" s="6">
        <v>5</v>
      </c>
      <c r="Z14" s="6">
        <v>5</v>
      </c>
    </row>
    <row r="15" spans="1:26" x14ac:dyDescent="0.35">
      <c r="F15" s="284"/>
      <c r="G15" t="s">
        <v>10</v>
      </c>
      <c r="H15" s="6">
        <v>2</v>
      </c>
      <c r="I15" s="6">
        <v>4</v>
      </c>
      <c r="J15" s="6">
        <v>3</v>
      </c>
      <c r="K15" s="6">
        <v>2</v>
      </c>
      <c r="L15" s="6">
        <v>2</v>
      </c>
      <c r="M15" s="6">
        <v>2</v>
      </c>
      <c r="N15" s="6">
        <v>3</v>
      </c>
      <c r="O15" s="6">
        <v>1</v>
      </c>
      <c r="P15" s="6">
        <v>2</v>
      </c>
      <c r="Q15" s="6">
        <v>2</v>
      </c>
      <c r="R15" s="6">
        <v>1</v>
      </c>
      <c r="S15" s="6">
        <v>2</v>
      </c>
      <c r="T15" s="6">
        <v>1</v>
      </c>
      <c r="U15" s="6">
        <v>2</v>
      </c>
      <c r="V15" s="6">
        <v>1</v>
      </c>
      <c r="W15" s="6">
        <v>3</v>
      </c>
      <c r="X15" s="6">
        <v>2</v>
      </c>
      <c r="Y15" s="6">
        <v>3</v>
      </c>
      <c r="Z15" s="6">
        <v>3</v>
      </c>
    </row>
    <row r="16" spans="1:26" x14ac:dyDescent="0.35">
      <c r="F16" s="290"/>
      <c r="G16" t="s">
        <v>23</v>
      </c>
      <c r="H16" s="6">
        <v>0</v>
      </c>
      <c r="I16" s="6">
        <v>0</v>
      </c>
      <c r="J16" s="6">
        <v>0</v>
      </c>
      <c r="K16" s="6">
        <v>0</v>
      </c>
      <c r="L16" s="6">
        <v>0</v>
      </c>
      <c r="M16" s="6">
        <v>0</v>
      </c>
      <c r="N16" s="6">
        <v>0</v>
      </c>
      <c r="O16" s="6">
        <v>0</v>
      </c>
      <c r="P16" s="6">
        <v>0</v>
      </c>
      <c r="Q16" s="6">
        <v>0</v>
      </c>
      <c r="R16" s="6">
        <v>0</v>
      </c>
      <c r="S16" s="6">
        <v>0</v>
      </c>
      <c r="T16" s="6">
        <v>0</v>
      </c>
      <c r="U16" s="6">
        <v>0</v>
      </c>
      <c r="V16" s="6">
        <v>0</v>
      </c>
      <c r="W16" s="6">
        <v>0</v>
      </c>
      <c r="X16" s="6">
        <v>0</v>
      </c>
      <c r="Y16" s="6">
        <v>0</v>
      </c>
      <c r="Z16" s="6">
        <v>0</v>
      </c>
    </row>
    <row r="17" spans="6:26" x14ac:dyDescent="0.35">
      <c r="H17" s="2"/>
      <c r="I17" s="2"/>
      <c r="J17" s="2"/>
      <c r="K17" s="2"/>
      <c r="L17" s="2"/>
      <c r="M17" s="2"/>
      <c r="O17" s="2"/>
      <c r="P17" s="82"/>
      <c r="Q17" s="88"/>
      <c r="R17" s="107"/>
      <c r="S17" s="125"/>
      <c r="T17" s="129"/>
      <c r="U17" s="130"/>
      <c r="V17" s="135"/>
      <c r="W17" s="135"/>
      <c r="X17" s="151"/>
      <c r="Y17" s="151"/>
      <c r="Z17" s="152"/>
    </row>
    <row r="18" spans="6:26" x14ac:dyDescent="0.35">
      <c r="G18" t="s">
        <v>4</v>
      </c>
      <c r="H18" s="5">
        <f>100*H14</f>
        <v>1000</v>
      </c>
      <c r="I18" s="5">
        <f t="shared" ref="I18:S18" si="0">100*I14</f>
        <v>500</v>
      </c>
      <c r="J18" s="5">
        <f t="shared" si="0"/>
        <v>300</v>
      </c>
      <c r="K18" s="5">
        <f t="shared" si="0"/>
        <v>400</v>
      </c>
      <c r="L18" s="5">
        <f t="shared" si="0"/>
        <v>100</v>
      </c>
      <c r="M18" s="5">
        <f t="shared" si="0"/>
        <v>200</v>
      </c>
      <c r="N18" s="5">
        <f t="shared" si="0"/>
        <v>300</v>
      </c>
      <c r="O18" s="5">
        <f t="shared" si="0"/>
        <v>200</v>
      </c>
      <c r="P18" s="5">
        <f t="shared" si="0"/>
        <v>400</v>
      </c>
      <c r="Q18" s="5">
        <f t="shared" si="0"/>
        <v>300</v>
      </c>
      <c r="R18" s="5">
        <f t="shared" si="0"/>
        <v>200</v>
      </c>
      <c r="S18" s="5">
        <f t="shared" si="0"/>
        <v>300</v>
      </c>
      <c r="T18" s="5">
        <f t="shared" ref="T18:Y18" si="1">100*T14</f>
        <v>100</v>
      </c>
      <c r="U18" s="5">
        <f t="shared" si="1"/>
        <v>100</v>
      </c>
      <c r="V18" s="5">
        <f t="shared" si="1"/>
        <v>1000</v>
      </c>
      <c r="W18" s="5">
        <f t="shared" si="1"/>
        <v>200</v>
      </c>
      <c r="X18" s="5">
        <f t="shared" si="1"/>
        <v>300</v>
      </c>
      <c r="Y18" s="5">
        <f t="shared" si="1"/>
        <v>500</v>
      </c>
      <c r="Z18" s="5">
        <f>100*Z14</f>
        <v>500</v>
      </c>
    </row>
    <row r="19" spans="6:26" x14ac:dyDescent="0.35">
      <c r="G19" t="s">
        <v>31</v>
      </c>
      <c r="H19" s="3">
        <f>$H$6*H14+$H$5+$H$7*H16</f>
        <v>5</v>
      </c>
      <c r="I19" s="3">
        <f t="shared" ref="I19:S19" si="2">$H$6*I14+$H$5+$H$7*I16</f>
        <v>5</v>
      </c>
      <c r="J19" s="3">
        <f t="shared" si="2"/>
        <v>5</v>
      </c>
      <c r="K19" s="3">
        <f t="shared" si="2"/>
        <v>5</v>
      </c>
      <c r="L19" s="3">
        <f t="shared" si="2"/>
        <v>5</v>
      </c>
      <c r="M19" s="3">
        <f t="shared" si="2"/>
        <v>5</v>
      </c>
      <c r="N19" s="3">
        <f t="shared" si="2"/>
        <v>5</v>
      </c>
      <c r="O19" s="3">
        <f t="shared" si="2"/>
        <v>5</v>
      </c>
      <c r="P19" s="3">
        <f t="shared" si="2"/>
        <v>5</v>
      </c>
      <c r="Q19" s="3">
        <f t="shared" si="2"/>
        <v>5</v>
      </c>
      <c r="R19" s="3">
        <f t="shared" si="2"/>
        <v>5</v>
      </c>
      <c r="S19" s="3">
        <f t="shared" si="2"/>
        <v>5</v>
      </c>
      <c r="T19" s="3">
        <f t="shared" ref="T19:Y19" si="3">$H$6*T14+$H$5+$H$7*T16</f>
        <v>5</v>
      </c>
      <c r="U19" s="3">
        <f t="shared" si="3"/>
        <v>5</v>
      </c>
      <c r="V19" s="3">
        <f t="shared" si="3"/>
        <v>5</v>
      </c>
      <c r="W19" s="3">
        <f t="shared" si="3"/>
        <v>5</v>
      </c>
      <c r="X19" s="3">
        <f t="shared" si="3"/>
        <v>5</v>
      </c>
      <c r="Y19" s="3">
        <f t="shared" si="3"/>
        <v>5</v>
      </c>
      <c r="Z19" s="3">
        <f>$H$6*Z14+$H$5+$H$7*Z16</f>
        <v>5</v>
      </c>
    </row>
    <row r="20" spans="6:26" x14ac:dyDescent="0.35">
      <c r="G20" t="s">
        <v>6</v>
      </c>
      <c r="H20" s="3">
        <f>H13*H18</f>
        <v>500</v>
      </c>
      <c r="I20" s="3">
        <f t="shared" ref="I20:S20" si="4">I13*I18</f>
        <v>140</v>
      </c>
      <c r="J20" s="3">
        <f t="shared" si="4"/>
        <v>255</v>
      </c>
      <c r="K20" s="3">
        <f t="shared" si="4"/>
        <v>136</v>
      </c>
      <c r="L20" s="3">
        <f t="shared" si="4"/>
        <v>550</v>
      </c>
      <c r="M20" s="3">
        <f t="shared" si="4"/>
        <v>940</v>
      </c>
      <c r="N20" s="3">
        <f t="shared" si="4"/>
        <v>240</v>
      </c>
      <c r="O20" s="3">
        <f t="shared" si="4"/>
        <v>300</v>
      </c>
      <c r="P20" s="3">
        <f t="shared" si="4"/>
        <v>140</v>
      </c>
      <c r="Q20" s="3">
        <f t="shared" si="4"/>
        <v>255</v>
      </c>
      <c r="R20" s="3">
        <f t="shared" si="4"/>
        <v>140</v>
      </c>
      <c r="S20" s="3">
        <f t="shared" si="4"/>
        <v>120</v>
      </c>
      <c r="T20" s="3">
        <f t="shared" ref="T20:Y20" si="5">T13*T18</f>
        <v>50</v>
      </c>
      <c r="U20" s="3">
        <f t="shared" si="5"/>
        <v>90</v>
      </c>
      <c r="V20" s="3">
        <f t="shared" si="5"/>
        <v>260</v>
      </c>
      <c r="W20" s="3">
        <f t="shared" si="5"/>
        <v>70</v>
      </c>
      <c r="X20" s="3">
        <f t="shared" si="5"/>
        <v>75</v>
      </c>
      <c r="Y20" s="3">
        <f t="shared" si="5"/>
        <v>200</v>
      </c>
      <c r="Z20" s="3">
        <f>Z13*Z18</f>
        <v>100</v>
      </c>
    </row>
    <row r="21" spans="6:26" x14ac:dyDescent="0.35">
      <c r="G21" t="s">
        <v>28</v>
      </c>
      <c r="H21" s="3">
        <f>H20-H19</f>
        <v>495</v>
      </c>
      <c r="I21" s="3">
        <f t="shared" ref="I21:S21" si="6">I20-I19</f>
        <v>135</v>
      </c>
      <c r="J21" s="3">
        <f t="shared" si="6"/>
        <v>250</v>
      </c>
      <c r="K21" s="3">
        <f t="shared" si="6"/>
        <v>131</v>
      </c>
      <c r="L21" s="3">
        <f t="shared" si="6"/>
        <v>545</v>
      </c>
      <c r="M21" s="3">
        <f t="shared" si="6"/>
        <v>935</v>
      </c>
      <c r="N21" s="3">
        <f t="shared" si="6"/>
        <v>235</v>
      </c>
      <c r="O21" s="3">
        <f t="shared" si="6"/>
        <v>295</v>
      </c>
      <c r="P21" s="3">
        <f t="shared" si="6"/>
        <v>135</v>
      </c>
      <c r="Q21" s="3">
        <f t="shared" si="6"/>
        <v>250</v>
      </c>
      <c r="R21" s="3">
        <f t="shared" si="6"/>
        <v>135</v>
      </c>
      <c r="S21" s="3">
        <f t="shared" si="6"/>
        <v>115</v>
      </c>
      <c r="T21" s="3">
        <f t="shared" ref="T21:Z21" si="7">T20-T19</f>
        <v>45</v>
      </c>
      <c r="U21" s="3">
        <f t="shared" si="7"/>
        <v>85</v>
      </c>
      <c r="V21" s="3">
        <f t="shared" si="7"/>
        <v>255</v>
      </c>
      <c r="W21" s="3">
        <f t="shared" si="7"/>
        <v>65</v>
      </c>
      <c r="X21" s="3">
        <f t="shared" si="7"/>
        <v>70</v>
      </c>
      <c r="Y21" s="3">
        <f t="shared" si="7"/>
        <v>195</v>
      </c>
      <c r="Z21" s="3">
        <f t="shared" si="7"/>
        <v>95</v>
      </c>
    </row>
    <row r="22" spans="6:26" x14ac:dyDescent="0.35">
      <c r="G22" t="s">
        <v>22</v>
      </c>
      <c r="H22" s="7">
        <f>H18*H12</f>
        <v>55000</v>
      </c>
      <c r="I22" s="7">
        <f t="shared" ref="I22:S22" si="8">I18*I12</f>
        <v>7750</v>
      </c>
      <c r="J22" s="7">
        <f t="shared" si="8"/>
        <v>32100</v>
      </c>
      <c r="K22" s="7">
        <f t="shared" si="8"/>
        <v>46800</v>
      </c>
      <c r="L22" s="7">
        <f t="shared" si="8"/>
        <v>75500</v>
      </c>
      <c r="M22" s="7">
        <f t="shared" si="8"/>
        <v>154000</v>
      </c>
      <c r="N22" s="7">
        <f t="shared" si="8"/>
        <v>32100</v>
      </c>
      <c r="O22" s="7">
        <f t="shared" si="8"/>
        <v>24000</v>
      </c>
      <c r="P22" s="7">
        <f t="shared" si="8"/>
        <v>11400</v>
      </c>
      <c r="Q22" s="7">
        <f t="shared" si="8"/>
        <v>20550</v>
      </c>
      <c r="R22" s="7">
        <f t="shared" si="8"/>
        <v>10500</v>
      </c>
      <c r="S22" s="7">
        <f t="shared" si="8"/>
        <v>6750</v>
      </c>
      <c r="T22" s="7">
        <f t="shared" ref="T22:Y22" si="9">T18*T12</f>
        <v>6600</v>
      </c>
      <c r="U22" s="7">
        <f t="shared" si="9"/>
        <v>12800</v>
      </c>
      <c r="V22" s="7">
        <f t="shared" si="9"/>
        <v>30000</v>
      </c>
      <c r="W22" s="7">
        <f t="shared" si="9"/>
        <v>10000</v>
      </c>
      <c r="X22" s="7">
        <f t="shared" si="9"/>
        <v>9000</v>
      </c>
      <c r="Y22" s="7">
        <f t="shared" si="9"/>
        <v>10000</v>
      </c>
      <c r="Z22" s="7">
        <f>Z18*Z12</f>
        <v>10500</v>
      </c>
    </row>
    <row r="23" spans="6:26" x14ac:dyDescent="0.35">
      <c r="G23" t="s">
        <v>8</v>
      </c>
      <c r="H23" s="8">
        <f>H21/H22*50/H15</f>
        <v>0.22499999999999998</v>
      </c>
      <c r="I23" s="8">
        <f t="shared" ref="I23:S23" si="10">I21/I22*50/I15</f>
        <v>0.21774193548387094</v>
      </c>
      <c r="J23" s="8">
        <f t="shared" si="10"/>
        <v>0.12980269989615784</v>
      </c>
      <c r="K23" s="8">
        <f t="shared" si="10"/>
        <v>6.997863247863248E-2</v>
      </c>
      <c r="L23" s="8">
        <f t="shared" si="10"/>
        <v>0.1804635761589404</v>
      </c>
      <c r="M23" s="8">
        <f t="shared" si="10"/>
        <v>0.15178571428571427</v>
      </c>
      <c r="N23" s="8">
        <f t="shared" si="10"/>
        <v>0.12201453790238836</v>
      </c>
      <c r="O23" s="8">
        <f t="shared" si="10"/>
        <v>0.61458333333333326</v>
      </c>
      <c r="P23" s="8">
        <f t="shared" si="10"/>
        <v>0.2960526315789474</v>
      </c>
      <c r="Q23" s="8">
        <f t="shared" si="10"/>
        <v>0.30413625304136255</v>
      </c>
      <c r="R23" s="8">
        <f t="shared" si="10"/>
        <v>0.64285714285714279</v>
      </c>
      <c r="S23" s="8">
        <f t="shared" si="10"/>
        <v>0.42592592592592593</v>
      </c>
      <c r="T23" s="8">
        <f t="shared" ref="T23:Z23" si="11">T21/T22*50/T15</f>
        <v>0.34090909090909088</v>
      </c>
      <c r="U23" s="8">
        <f t="shared" si="11"/>
        <v>0.166015625</v>
      </c>
      <c r="V23" s="8">
        <f t="shared" si="11"/>
        <v>0.42500000000000004</v>
      </c>
      <c r="W23" s="8">
        <f t="shared" si="11"/>
        <v>0.10833333333333334</v>
      </c>
      <c r="X23" s="8">
        <f t="shared" si="11"/>
        <v>0.19444444444444445</v>
      </c>
      <c r="Y23" s="8">
        <f t="shared" si="11"/>
        <v>0.32500000000000001</v>
      </c>
      <c r="Z23" s="8">
        <f t="shared" si="11"/>
        <v>0.15079365079365079</v>
      </c>
    </row>
    <row r="24" spans="6:26" x14ac:dyDescent="0.35">
      <c r="G24" t="s">
        <v>69</v>
      </c>
      <c r="H24" s="8">
        <f>H19/H20</f>
        <v>0.01</v>
      </c>
      <c r="I24" s="8">
        <f t="shared" ref="I24:S24" si="12">I19/I20</f>
        <v>3.5714285714285712E-2</v>
      </c>
      <c r="J24" s="8">
        <f t="shared" si="12"/>
        <v>1.9607843137254902E-2</v>
      </c>
      <c r="K24" s="8">
        <f t="shared" si="12"/>
        <v>3.6764705882352942E-2</v>
      </c>
      <c r="L24" s="8">
        <f t="shared" si="12"/>
        <v>9.0909090909090905E-3</v>
      </c>
      <c r="M24" s="8">
        <f t="shared" si="12"/>
        <v>5.3191489361702126E-3</v>
      </c>
      <c r="N24" s="8">
        <f t="shared" si="12"/>
        <v>2.0833333333333332E-2</v>
      </c>
      <c r="O24" s="8">
        <f t="shared" si="12"/>
        <v>1.6666666666666666E-2</v>
      </c>
      <c r="P24" s="8">
        <f t="shared" si="12"/>
        <v>3.5714285714285712E-2</v>
      </c>
      <c r="Q24" s="8">
        <f t="shared" si="12"/>
        <v>1.9607843137254902E-2</v>
      </c>
      <c r="R24" s="8">
        <f t="shared" si="12"/>
        <v>3.5714285714285712E-2</v>
      </c>
      <c r="S24" s="8">
        <f t="shared" si="12"/>
        <v>4.1666666666666664E-2</v>
      </c>
      <c r="T24" s="8">
        <f t="shared" ref="T24:Y24" si="13">T19/T20</f>
        <v>0.1</v>
      </c>
      <c r="U24" s="8">
        <f t="shared" si="13"/>
        <v>5.5555555555555552E-2</v>
      </c>
      <c r="V24" s="8">
        <f t="shared" si="13"/>
        <v>1.9230769230769232E-2</v>
      </c>
      <c r="W24" s="8">
        <f t="shared" si="13"/>
        <v>7.1428571428571425E-2</v>
      </c>
      <c r="X24" s="8">
        <f t="shared" si="13"/>
        <v>6.6666666666666666E-2</v>
      </c>
      <c r="Y24" s="8">
        <f t="shared" si="13"/>
        <v>2.5000000000000001E-2</v>
      </c>
      <c r="Z24" s="8">
        <f>Z19/Z20</f>
        <v>0.05</v>
      </c>
    </row>
    <row r="25" spans="6:26" x14ac:dyDescent="0.35">
      <c r="H25" s="8">
        <f>SUMPRODUCT(H22:Z22,H23:Z23,H15:Z15)/SUMPRODUCT(H22:Z22,H15:Z15)</f>
        <v>0.19088733116772097</v>
      </c>
      <c r="I25" s="8"/>
      <c r="J25" s="8"/>
      <c r="K25" s="8"/>
      <c r="L25" s="8"/>
      <c r="M25" s="8"/>
      <c r="N25" s="8"/>
    </row>
    <row r="26" spans="6:26" x14ac:dyDescent="0.35">
      <c r="H26" s="2"/>
      <c r="I26" s="2"/>
      <c r="J26" s="2"/>
      <c r="K26" s="2"/>
      <c r="L26" s="2"/>
      <c r="M26" s="2"/>
      <c r="N26" s="2"/>
    </row>
    <row r="27" spans="6:26" ht="18.5" x14ac:dyDescent="0.45">
      <c r="G27" s="1" t="s">
        <v>9</v>
      </c>
      <c r="H27" s="2"/>
      <c r="I27" s="2"/>
      <c r="J27" s="2"/>
      <c r="K27" s="2"/>
      <c r="L27" s="2"/>
      <c r="M27" s="2"/>
      <c r="N27" s="2"/>
    </row>
    <row r="28" spans="6:26" x14ac:dyDescent="0.35">
      <c r="F28" s="283" t="s">
        <v>29</v>
      </c>
      <c r="G28" t="s">
        <v>11</v>
      </c>
      <c r="H28" s="128" t="s">
        <v>93</v>
      </c>
      <c r="I28" s="2" t="s">
        <v>91</v>
      </c>
      <c r="J28" s="2" t="s">
        <v>374</v>
      </c>
      <c r="K28" s="2" t="s">
        <v>184</v>
      </c>
      <c r="L28" s="2" t="s">
        <v>366</v>
      </c>
      <c r="M28" s="2" t="s">
        <v>1</v>
      </c>
      <c r="N28" s="2" t="s">
        <v>372</v>
      </c>
      <c r="O28" s="2" t="s">
        <v>181</v>
      </c>
      <c r="P28" s="2"/>
      <c r="R28" s="2"/>
    </row>
    <row r="29" spans="6:26" x14ac:dyDescent="0.35">
      <c r="F29" s="284"/>
      <c r="G29" t="s">
        <v>7</v>
      </c>
      <c r="H29" s="3">
        <v>55.5</v>
      </c>
      <c r="I29" s="3">
        <v>27.5</v>
      </c>
      <c r="J29" s="3">
        <v>18.5</v>
      </c>
      <c r="K29" s="3">
        <v>31</v>
      </c>
      <c r="L29" s="3">
        <v>23.5</v>
      </c>
      <c r="M29" s="3">
        <v>100</v>
      </c>
      <c r="N29" s="3">
        <v>45</v>
      </c>
      <c r="O29" s="3">
        <v>30</v>
      </c>
      <c r="P29" s="3"/>
      <c r="Q29" s="3"/>
      <c r="R29" s="3"/>
      <c r="S29" s="3"/>
      <c r="T29" s="3"/>
    </row>
    <row r="30" spans="6:26" x14ac:dyDescent="0.35">
      <c r="F30" s="284"/>
      <c r="G30" t="s">
        <v>30</v>
      </c>
      <c r="H30" s="3">
        <v>0.31</v>
      </c>
      <c r="I30" s="3">
        <v>0.35</v>
      </c>
      <c r="J30" s="3">
        <v>0.67</v>
      </c>
      <c r="K30" s="3">
        <v>0.5</v>
      </c>
      <c r="L30" s="3">
        <v>0.26</v>
      </c>
      <c r="M30" s="3">
        <v>1.01</v>
      </c>
      <c r="N30" s="3">
        <v>0.5</v>
      </c>
      <c r="O30" s="3">
        <v>0.25</v>
      </c>
      <c r="P30" s="3"/>
      <c r="Q30" s="3"/>
      <c r="R30" s="3"/>
      <c r="S30" s="3"/>
      <c r="T30" s="3"/>
    </row>
    <row r="31" spans="6:26" x14ac:dyDescent="0.35">
      <c r="F31" s="284"/>
      <c r="G31" t="s">
        <v>5</v>
      </c>
      <c r="H31" s="6">
        <v>7</v>
      </c>
      <c r="I31" s="6">
        <v>2</v>
      </c>
      <c r="J31" s="6">
        <v>5</v>
      </c>
      <c r="K31" s="6">
        <v>4</v>
      </c>
      <c r="L31" s="6">
        <v>3</v>
      </c>
      <c r="M31" s="6">
        <v>3</v>
      </c>
      <c r="N31" s="6">
        <v>2</v>
      </c>
      <c r="O31" s="6">
        <v>3</v>
      </c>
      <c r="P31" s="6"/>
      <c r="Q31" s="6"/>
      <c r="R31" s="6"/>
      <c r="S31" s="6"/>
      <c r="T31" s="6"/>
    </row>
    <row r="32" spans="6:26" x14ac:dyDescent="0.35">
      <c r="F32" s="284"/>
      <c r="G32" t="s">
        <v>10</v>
      </c>
      <c r="H32" s="6">
        <v>3</v>
      </c>
      <c r="I32" s="6">
        <v>2</v>
      </c>
      <c r="J32" s="6">
        <v>3</v>
      </c>
      <c r="K32" s="6">
        <v>2</v>
      </c>
      <c r="L32" s="6">
        <v>4</v>
      </c>
      <c r="M32" s="6">
        <v>3</v>
      </c>
      <c r="N32" s="6">
        <v>2</v>
      </c>
      <c r="O32" s="6">
        <v>4</v>
      </c>
      <c r="P32" s="6"/>
      <c r="Q32" s="6"/>
      <c r="R32" s="6"/>
      <c r="S32" s="6"/>
      <c r="T32" s="6"/>
    </row>
    <row r="33" spans="6:20" x14ac:dyDescent="0.35">
      <c r="F33" s="284"/>
      <c r="G33" t="s">
        <v>24</v>
      </c>
      <c r="H33" s="3">
        <v>56</v>
      </c>
      <c r="I33" s="3">
        <v>80</v>
      </c>
      <c r="J33" s="3">
        <v>20</v>
      </c>
      <c r="K33" s="3">
        <v>31</v>
      </c>
      <c r="L33" s="3">
        <v>26.5</v>
      </c>
      <c r="M33" s="3">
        <v>113</v>
      </c>
      <c r="N33" s="3">
        <v>45</v>
      </c>
      <c r="O33" s="3">
        <v>30</v>
      </c>
      <c r="P33" s="3"/>
      <c r="Q33" s="3"/>
      <c r="R33" s="3"/>
      <c r="S33" s="3"/>
      <c r="T33" s="3"/>
    </row>
    <row r="34" spans="6:20" x14ac:dyDescent="0.35">
      <c r="F34" s="285"/>
      <c r="G34" t="s">
        <v>23</v>
      </c>
      <c r="H34" s="6">
        <v>0</v>
      </c>
      <c r="I34" s="6">
        <v>0</v>
      </c>
      <c r="J34" s="6">
        <v>0</v>
      </c>
      <c r="K34" s="6">
        <v>0</v>
      </c>
      <c r="L34" s="6">
        <v>0</v>
      </c>
      <c r="M34" s="6">
        <v>0</v>
      </c>
      <c r="N34" s="6">
        <v>0</v>
      </c>
      <c r="O34" s="6">
        <v>0</v>
      </c>
      <c r="P34" s="6"/>
      <c r="Q34" s="6"/>
      <c r="R34" s="6"/>
      <c r="S34" s="6"/>
      <c r="T34" s="6"/>
    </row>
    <row r="35" spans="6:20" x14ac:dyDescent="0.35">
      <c r="H35" s="128"/>
      <c r="I35" s="2"/>
      <c r="J35" s="2"/>
      <c r="K35" s="2"/>
      <c r="L35" s="2"/>
      <c r="M35" s="2"/>
      <c r="N35" s="2"/>
      <c r="O35" s="2"/>
    </row>
    <row r="36" spans="6:20" x14ac:dyDescent="0.35">
      <c r="H36" s="128"/>
      <c r="I36" s="2"/>
      <c r="J36" s="2"/>
      <c r="K36" s="2"/>
      <c r="L36" s="2"/>
      <c r="M36" s="2"/>
      <c r="N36" s="2"/>
      <c r="O36" s="2"/>
    </row>
    <row r="37" spans="6:20" x14ac:dyDescent="0.35">
      <c r="G37" t="s">
        <v>4</v>
      </c>
      <c r="H37" s="6">
        <f>100*H31</f>
        <v>700</v>
      </c>
      <c r="I37" s="6">
        <f t="shared" ref="I37:O37" si="14">100*I31</f>
        <v>200</v>
      </c>
      <c r="J37" s="6">
        <f t="shared" si="14"/>
        <v>500</v>
      </c>
      <c r="K37" s="6">
        <f t="shared" si="14"/>
        <v>400</v>
      </c>
      <c r="L37" s="6">
        <f t="shared" si="14"/>
        <v>300</v>
      </c>
      <c r="M37" s="6">
        <f t="shared" si="14"/>
        <v>300</v>
      </c>
      <c r="N37" s="6">
        <f t="shared" si="14"/>
        <v>200</v>
      </c>
      <c r="O37" s="6">
        <f t="shared" si="14"/>
        <v>300</v>
      </c>
      <c r="P37" s="6"/>
      <c r="Q37" s="6"/>
      <c r="R37" s="6"/>
      <c r="S37" s="6"/>
      <c r="T37" s="6"/>
    </row>
    <row r="38" spans="6:20" x14ac:dyDescent="0.35">
      <c r="G38" t="s">
        <v>31</v>
      </c>
      <c r="H38" s="3">
        <f>$H$6*H31+$H$5+$H$7*H34</f>
        <v>5</v>
      </c>
      <c r="I38" s="3">
        <f>$H$6*I31+$H$5+$H$7*I34</f>
        <v>5</v>
      </c>
      <c r="J38" s="3">
        <f t="shared" ref="J38:O38" si="15">$H$6*J31+$H$5+$H$7*J34</f>
        <v>5</v>
      </c>
      <c r="K38" s="3">
        <f t="shared" si="15"/>
        <v>5</v>
      </c>
      <c r="L38" s="3">
        <f t="shared" si="15"/>
        <v>5</v>
      </c>
      <c r="M38" s="3">
        <f t="shared" si="15"/>
        <v>5</v>
      </c>
      <c r="N38" s="3">
        <f t="shared" si="15"/>
        <v>5</v>
      </c>
      <c r="O38" s="3">
        <f t="shared" si="15"/>
        <v>5</v>
      </c>
      <c r="P38" s="3"/>
      <c r="Q38" s="3"/>
      <c r="R38" s="3"/>
      <c r="S38" s="3"/>
      <c r="T38" s="3"/>
    </row>
    <row r="39" spans="6:20" x14ac:dyDescent="0.35">
      <c r="G39" t="s">
        <v>6</v>
      </c>
      <c r="H39" s="3">
        <f>H30*H37</f>
        <v>217</v>
      </c>
      <c r="I39" s="3">
        <f t="shared" ref="I39:O39" si="16">I30*I37</f>
        <v>70</v>
      </c>
      <c r="J39" s="3">
        <f t="shared" si="16"/>
        <v>335</v>
      </c>
      <c r="K39" s="3">
        <f t="shared" si="16"/>
        <v>200</v>
      </c>
      <c r="L39" s="3">
        <f t="shared" si="16"/>
        <v>78</v>
      </c>
      <c r="M39" s="3">
        <f t="shared" si="16"/>
        <v>303</v>
      </c>
      <c r="N39" s="3">
        <f t="shared" si="16"/>
        <v>100</v>
      </c>
      <c r="O39" s="3">
        <f t="shared" si="16"/>
        <v>75</v>
      </c>
      <c r="P39" s="3"/>
      <c r="Q39" s="3"/>
      <c r="R39" s="3"/>
      <c r="S39" s="3"/>
      <c r="T39" s="3"/>
    </row>
    <row r="40" spans="6:20" x14ac:dyDescent="0.35">
      <c r="G40" t="s">
        <v>28</v>
      </c>
      <c r="H40" s="3">
        <f>H39-H38</f>
        <v>212</v>
      </c>
      <c r="I40" s="3">
        <f t="shared" ref="I40:O40" si="17">I39-I38</f>
        <v>65</v>
      </c>
      <c r="J40" s="3">
        <f t="shared" si="17"/>
        <v>330</v>
      </c>
      <c r="K40" s="3">
        <f t="shared" si="17"/>
        <v>195</v>
      </c>
      <c r="L40" s="3">
        <f t="shared" si="17"/>
        <v>73</v>
      </c>
      <c r="M40" s="3">
        <f t="shared" si="17"/>
        <v>298</v>
      </c>
      <c r="N40" s="3">
        <f t="shared" si="17"/>
        <v>95</v>
      </c>
      <c r="O40" s="3">
        <f t="shared" si="17"/>
        <v>70</v>
      </c>
      <c r="P40" s="3"/>
      <c r="Q40" s="3"/>
      <c r="R40" s="3"/>
      <c r="S40" s="3"/>
      <c r="T40" s="3"/>
    </row>
    <row r="41" spans="6:20" x14ac:dyDescent="0.35">
      <c r="G41" t="s">
        <v>25</v>
      </c>
      <c r="H41" s="7">
        <f>H33*H37</f>
        <v>39200</v>
      </c>
      <c r="I41" s="7">
        <f t="shared" ref="I41:O41" si="18">I33*I37</f>
        <v>16000</v>
      </c>
      <c r="J41" s="7">
        <f t="shared" si="18"/>
        <v>10000</v>
      </c>
      <c r="K41" s="7">
        <f t="shared" si="18"/>
        <v>12400</v>
      </c>
      <c r="L41" s="7">
        <f t="shared" si="18"/>
        <v>7950</v>
      </c>
      <c r="M41" s="7">
        <f t="shared" si="18"/>
        <v>33900</v>
      </c>
      <c r="N41" s="7">
        <f t="shared" si="18"/>
        <v>9000</v>
      </c>
      <c r="O41" s="7">
        <f t="shared" si="18"/>
        <v>9000</v>
      </c>
      <c r="P41" s="7"/>
      <c r="Q41" s="7"/>
      <c r="R41" s="7"/>
      <c r="S41" s="7"/>
      <c r="T41" s="7"/>
    </row>
    <row r="42" spans="6:20" x14ac:dyDescent="0.35">
      <c r="G42" t="s">
        <v>83</v>
      </c>
      <c r="H42" s="8">
        <f>H40/H41*50/H32</f>
        <v>9.0136054421768697E-2</v>
      </c>
      <c r="I42" s="8">
        <f t="shared" ref="I42:O42" si="19">I40/I41*50/I32</f>
        <v>0.1015625</v>
      </c>
      <c r="J42" s="8">
        <f t="shared" si="19"/>
        <v>0.55000000000000004</v>
      </c>
      <c r="K42" s="8">
        <f t="shared" si="19"/>
        <v>0.39314516129032256</v>
      </c>
      <c r="L42" s="8">
        <f t="shared" si="19"/>
        <v>0.11477987421383648</v>
      </c>
      <c r="M42" s="8">
        <f t="shared" si="19"/>
        <v>0.14650934119960671</v>
      </c>
      <c r="N42" s="8">
        <f t="shared" si="19"/>
        <v>0.2638888888888889</v>
      </c>
      <c r="O42" s="8">
        <f t="shared" si="19"/>
        <v>9.7222222222222224E-2</v>
      </c>
      <c r="P42" s="8"/>
      <c r="Q42" s="8"/>
      <c r="R42" s="8"/>
      <c r="S42" s="8"/>
      <c r="T42" s="8"/>
    </row>
    <row r="43" spans="6:20" x14ac:dyDescent="0.35">
      <c r="G43" t="s">
        <v>26</v>
      </c>
      <c r="H43" s="3">
        <f>IF(H34=1,H37*(H29-H33),0)</f>
        <v>0</v>
      </c>
      <c r="I43" s="3">
        <f t="shared" ref="I43:O43" si="20">IF(I34=1,I37*(I29-I33),0)</f>
        <v>0</v>
      </c>
      <c r="J43" s="3">
        <f t="shared" si="20"/>
        <v>0</v>
      </c>
      <c r="K43" s="3">
        <f t="shared" si="20"/>
        <v>0</v>
      </c>
      <c r="L43" s="3">
        <f t="shared" si="20"/>
        <v>0</v>
      </c>
      <c r="M43" s="3">
        <f t="shared" si="20"/>
        <v>0</v>
      </c>
      <c r="N43" s="3">
        <f t="shared" si="20"/>
        <v>0</v>
      </c>
      <c r="O43" s="3">
        <f t="shared" si="20"/>
        <v>0</v>
      </c>
      <c r="P43" s="3"/>
      <c r="Q43" s="3"/>
      <c r="R43" s="3"/>
      <c r="S43" s="3"/>
      <c r="T43" s="3"/>
    </row>
    <row r="44" spans="6:20" x14ac:dyDescent="0.35">
      <c r="G44" t="s">
        <v>27</v>
      </c>
      <c r="H44" s="8">
        <f>IF(H34=1,H43/H41*50/H32,0)</f>
        <v>0</v>
      </c>
      <c r="I44" s="8">
        <f t="shared" ref="I44:O44" si="21">IF(I34=1,I43/I41*50/I32,0)</f>
        <v>0</v>
      </c>
      <c r="J44" s="8">
        <f t="shared" si="21"/>
        <v>0</v>
      </c>
      <c r="K44" s="8">
        <f t="shared" si="21"/>
        <v>0</v>
      </c>
      <c r="L44" s="8">
        <f t="shared" si="21"/>
        <v>0</v>
      </c>
      <c r="M44" s="8">
        <f t="shared" si="21"/>
        <v>0</v>
      </c>
      <c r="N44" s="8">
        <f t="shared" si="21"/>
        <v>0</v>
      </c>
      <c r="O44" s="8">
        <f t="shared" si="21"/>
        <v>0</v>
      </c>
      <c r="P44" s="8"/>
      <c r="Q44" s="8"/>
      <c r="R44" s="8"/>
      <c r="S44" s="8"/>
      <c r="T44" s="8"/>
    </row>
    <row r="45" spans="6:20" x14ac:dyDescent="0.35">
      <c r="G45" t="s">
        <v>34</v>
      </c>
      <c r="H45" s="3">
        <f>H40+H43</f>
        <v>212</v>
      </c>
      <c r="I45" s="3">
        <f t="shared" ref="I45:O45" si="22">I40+I43</f>
        <v>65</v>
      </c>
      <c r="J45" s="3">
        <f t="shared" si="22"/>
        <v>330</v>
      </c>
      <c r="K45" s="3">
        <f t="shared" si="22"/>
        <v>195</v>
      </c>
      <c r="L45" s="3">
        <f t="shared" si="22"/>
        <v>73</v>
      </c>
      <c r="M45" s="3">
        <f t="shared" si="22"/>
        <v>298</v>
      </c>
      <c r="N45" s="3">
        <f t="shared" si="22"/>
        <v>95</v>
      </c>
      <c r="O45" s="3">
        <f t="shared" si="22"/>
        <v>70</v>
      </c>
      <c r="P45" s="3"/>
      <c r="Q45" s="3"/>
      <c r="R45" s="3"/>
      <c r="S45" s="3"/>
      <c r="T45" s="3"/>
    </row>
    <row r="46" spans="6:20" x14ac:dyDescent="0.35">
      <c r="G46" t="s">
        <v>84</v>
      </c>
      <c r="H46" s="8">
        <f>H45/H41*50/H32</f>
        <v>9.0136054421768697E-2</v>
      </c>
      <c r="I46" s="8">
        <f>I45/I41*50/I32</f>
        <v>0.1015625</v>
      </c>
      <c r="J46" s="8">
        <f t="shared" ref="J46:O46" si="23">J45/J41*50/J32</f>
        <v>0.55000000000000004</v>
      </c>
      <c r="K46" s="8">
        <f t="shared" si="23"/>
        <v>0.39314516129032256</v>
      </c>
      <c r="L46" s="8">
        <f t="shared" si="23"/>
        <v>0.11477987421383648</v>
      </c>
      <c r="M46" s="8">
        <f t="shared" si="23"/>
        <v>0.14650934119960671</v>
      </c>
      <c r="N46" s="8">
        <f t="shared" si="23"/>
        <v>0.2638888888888889</v>
      </c>
      <c r="O46" s="8">
        <f t="shared" si="23"/>
        <v>9.7222222222222224E-2</v>
      </c>
      <c r="P46" s="8"/>
      <c r="Q46" s="8"/>
      <c r="R46" s="8"/>
      <c r="S46" s="8"/>
      <c r="T46" s="8"/>
    </row>
    <row r="47" spans="6:20" x14ac:dyDescent="0.35">
      <c r="G47" t="s">
        <v>69</v>
      </c>
      <c r="H47" s="8">
        <f>H38/H39</f>
        <v>2.3041474654377881E-2</v>
      </c>
      <c r="I47" s="8">
        <f>I38/I39</f>
        <v>7.1428571428571425E-2</v>
      </c>
      <c r="J47" s="8">
        <f t="shared" ref="J47:O47" si="24">J38/J39</f>
        <v>1.4925373134328358E-2</v>
      </c>
      <c r="K47" s="8">
        <f t="shared" si="24"/>
        <v>2.5000000000000001E-2</v>
      </c>
      <c r="L47" s="8">
        <f t="shared" si="24"/>
        <v>6.4102564102564097E-2</v>
      </c>
      <c r="M47" s="8">
        <f t="shared" si="24"/>
        <v>1.65016501650165E-2</v>
      </c>
      <c r="N47" s="8">
        <f t="shared" si="24"/>
        <v>0.05</v>
      </c>
      <c r="O47" s="8">
        <f t="shared" si="24"/>
        <v>6.6666666666666666E-2</v>
      </c>
      <c r="P47" s="8"/>
      <c r="Q47" s="8"/>
      <c r="R47" s="8"/>
      <c r="S47" s="8"/>
      <c r="T47" s="8"/>
    </row>
    <row r="48" spans="6:20" x14ac:dyDescent="0.35">
      <c r="H48" s="8">
        <f>SUMPRODUCT(H41:T41,H46:T46,H32:T32)/SUMPRODUCT(H41:T41,H32:T32)</f>
        <v>0.17070681296249043</v>
      </c>
      <c r="I48" s="2"/>
      <c r="J48" s="2"/>
      <c r="K48" s="2"/>
      <c r="L48" s="2"/>
      <c r="M48" s="2"/>
      <c r="N48" s="2"/>
    </row>
    <row r="49" spans="7:115" x14ac:dyDescent="0.35">
      <c r="H49" s="2"/>
      <c r="I49" s="2"/>
      <c r="J49" s="2"/>
      <c r="K49" s="2"/>
      <c r="L49" s="2"/>
      <c r="M49" s="2"/>
      <c r="N49" s="2"/>
    </row>
    <row r="50" spans="7:115" x14ac:dyDescent="0.35">
      <c r="H50" s="2"/>
      <c r="I50" s="2"/>
      <c r="J50" s="2"/>
      <c r="K50" s="2"/>
      <c r="L50" s="2"/>
      <c r="M50" s="2"/>
      <c r="N50" s="2"/>
    </row>
    <row r="51" spans="7:115" x14ac:dyDescent="0.35">
      <c r="H51" s="2"/>
      <c r="I51" s="2"/>
      <c r="J51" s="2"/>
      <c r="K51" s="2"/>
      <c r="L51" s="2"/>
      <c r="M51" s="2"/>
      <c r="N51" s="2"/>
    </row>
    <row r="52" spans="7:115" x14ac:dyDescent="0.35">
      <c r="H52" s="2"/>
      <c r="I52" s="2"/>
      <c r="J52" s="2"/>
      <c r="K52" s="2"/>
      <c r="L52" s="2"/>
      <c r="M52" s="2"/>
      <c r="N52" s="2"/>
    </row>
    <row r="53" spans="7:115" ht="18.5" x14ac:dyDescent="0.45">
      <c r="G53" s="1" t="s">
        <v>326</v>
      </c>
    </row>
    <row r="54" spans="7:115" x14ac:dyDescent="0.35">
      <c r="G54" t="s">
        <v>11</v>
      </c>
      <c r="H54" s="189" t="s">
        <v>338</v>
      </c>
      <c r="I54" s="192" t="s">
        <v>93</v>
      </c>
      <c r="J54" s="188"/>
      <c r="K54" s="188"/>
      <c r="L54" s="188"/>
      <c r="M54" s="188"/>
      <c r="N54" s="188"/>
      <c r="O54" s="188"/>
      <c r="P54" s="188"/>
      <c r="Q54" s="188"/>
      <c r="R54" s="184"/>
      <c r="S54" s="184"/>
      <c r="T54" s="184"/>
      <c r="U54" s="184"/>
      <c r="V54" s="184"/>
      <c r="W54" s="184"/>
      <c r="X54" s="184"/>
      <c r="Y54" s="183"/>
      <c r="Z54" s="183"/>
      <c r="AA54" s="182"/>
      <c r="AB54" s="181"/>
      <c r="AC54" s="178"/>
      <c r="AD54" s="178"/>
      <c r="AE54" s="177"/>
      <c r="AF54" s="176"/>
      <c r="AG54" s="175"/>
      <c r="AH54" s="175"/>
      <c r="AI54" s="174"/>
      <c r="AJ54" s="172"/>
      <c r="AK54" s="172"/>
      <c r="AL54" s="172"/>
      <c r="AM54" s="172"/>
      <c r="AN54" s="171"/>
      <c r="AO54" s="170"/>
      <c r="AP54" s="170"/>
      <c r="AQ54" s="170"/>
      <c r="AR54" s="170"/>
      <c r="AS54" s="167"/>
      <c r="AT54" s="167"/>
      <c r="AU54" s="167"/>
      <c r="AV54" s="166"/>
      <c r="AW54" s="166"/>
      <c r="AX54" s="164"/>
      <c r="AY54" s="164"/>
      <c r="AZ54" s="159"/>
      <c r="BA54" s="159"/>
      <c r="BB54" s="159"/>
      <c r="BC54" s="159"/>
      <c r="BD54" s="152"/>
      <c r="BE54" s="152"/>
      <c r="BF54" s="152"/>
      <c r="BG54" s="154"/>
      <c r="BH54" s="151"/>
      <c r="BI54" s="151"/>
      <c r="BJ54" s="151"/>
      <c r="BK54" s="150"/>
      <c r="BL54" s="150"/>
      <c r="BM54" s="150"/>
      <c r="BN54" s="150"/>
      <c r="BO54" s="148"/>
      <c r="BP54" s="149"/>
      <c r="BQ54" s="140"/>
      <c r="BR54" s="138"/>
      <c r="BS54" s="135"/>
      <c r="BT54" s="132"/>
      <c r="BU54" s="130"/>
      <c r="BV54" s="129"/>
      <c r="BW54" s="129"/>
      <c r="BX54" s="129"/>
      <c r="BY54" s="129"/>
      <c r="BZ54" s="126"/>
      <c r="CA54" s="126"/>
      <c r="CB54" s="122"/>
      <c r="CC54" s="118"/>
      <c r="CD54" s="115"/>
      <c r="CE54" s="112"/>
      <c r="CF54" s="107"/>
      <c r="CG54" s="107"/>
      <c r="CH54" s="107"/>
      <c r="CI54" s="107"/>
      <c r="CJ54" s="107"/>
      <c r="CK54" s="107"/>
      <c r="CL54" s="107"/>
      <c r="CM54" s="107"/>
      <c r="CN54" s="107"/>
      <c r="CO54" s="107"/>
      <c r="CP54" s="107"/>
      <c r="CQ54" s="107"/>
      <c r="CR54" s="107"/>
      <c r="CS54" s="107"/>
      <c r="CT54" s="107"/>
      <c r="CU54" s="107"/>
      <c r="CV54" s="107"/>
      <c r="CW54" s="107"/>
      <c r="CX54" s="107"/>
      <c r="CY54" s="107"/>
      <c r="CZ54" s="107"/>
      <c r="DA54" s="107"/>
      <c r="DB54" s="107"/>
      <c r="DC54" s="107"/>
      <c r="DD54" s="107"/>
      <c r="DE54" s="107"/>
      <c r="DF54" s="107"/>
      <c r="DG54" s="107"/>
      <c r="DH54" s="107"/>
      <c r="DI54" s="107"/>
      <c r="DJ54" s="107"/>
      <c r="DK54" s="107"/>
    </row>
    <row r="55" spans="7:115" x14ac:dyDescent="0.35">
      <c r="G55" t="s">
        <v>244</v>
      </c>
      <c r="H55" s="3">
        <v>0.56999999999999995</v>
      </c>
      <c r="I55" s="3">
        <v>0.42</v>
      </c>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row>
    <row r="56" spans="7:115" x14ac:dyDescent="0.35">
      <c r="G56" t="s">
        <v>245</v>
      </c>
      <c r="H56" s="3">
        <v>0.79</v>
      </c>
      <c r="I56" s="3">
        <v>0.47</v>
      </c>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row>
    <row r="57" spans="7:115" x14ac:dyDescent="0.35">
      <c r="G57" t="s">
        <v>246</v>
      </c>
      <c r="H57" s="189">
        <v>3</v>
      </c>
      <c r="I57" s="192">
        <v>4</v>
      </c>
      <c r="J57" s="188"/>
      <c r="K57" s="188"/>
      <c r="L57" s="188"/>
      <c r="M57" s="188"/>
      <c r="N57" s="188"/>
      <c r="O57" s="188"/>
      <c r="P57" s="188"/>
      <c r="Q57" s="188"/>
      <c r="R57" s="184"/>
      <c r="S57" s="184"/>
      <c r="T57" s="184"/>
      <c r="U57" s="184"/>
      <c r="V57" s="184"/>
      <c r="W57" s="184"/>
      <c r="X57" s="184"/>
      <c r="Y57" s="183"/>
      <c r="Z57" s="183"/>
      <c r="AA57" s="182"/>
      <c r="AB57" s="181"/>
      <c r="AC57" s="178"/>
      <c r="AD57" s="178"/>
      <c r="AE57" s="177"/>
      <c r="AF57" s="176"/>
      <c r="AG57" s="175"/>
      <c r="AH57" s="175"/>
      <c r="AI57" s="174"/>
      <c r="AJ57" s="172"/>
      <c r="AK57" s="172"/>
      <c r="AL57" s="172"/>
      <c r="AM57" s="172"/>
      <c r="AN57" s="171"/>
      <c r="AO57" s="170"/>
      <c r="AP57" s="170"/>
      <c r="AQ57" s="170"/>
      <c r="AR57" s="170"/>
      <c r="AS57" s="167"/>
      <c r="AT57" s="167"/>
      <c r="AU57" s="167"/>
      <c r="AV57" s="166"/>
      <c r="AW57" s="166"/>
      <c r="AX57" s="164"/>
      <c r="AY57" s="164"/>
      <c r="AZ57" s="159"/>
      <c r="BA57" s="159"/>
      <c r="BB57" s="159"/>
      <c r="BC57" s="159"/>
      <c r="BD57" s="152"/>
      <c r="BE57" s="152"/>
      <c r="BF57" s="152"/>
      <c r="BG57" s="154"/>
      <c r="BH57" s="151"/>
      <c r="BI57" s="151"/>
      <c r="BJ57" s="151"/>
      <c r="BK57" s="150"/>
      <c r="BL57" s="150"/>
      <c r="BM57" s="150"/>
      <c r="BN57" s="150"/>
      <c r="BO57" s="148"/>
      <c r="BP57" s="149"/>
      <c r="BQ57" s="140"/>
      <c r="BR57" s="138"/>
      <c r="BS57" s="135"/>
      <c r="BT57" s="132"/>
      <c r="BU57" s="130"/>
      <c r="BV57" s="129"/>
      <c r="BW57" s="129"/>
      <c r="BX57" s="129"/>
      <c r="BY57" s="129"/>
      <c r="BZ57" s="126"/>
      <c r="CA57" s="126"/>
      <c r="CB57" s="122"/>
      <c r="CC57" s="118"/>
      <c r="CD57" s="115"/>
      <c r="CE57" s="112"/>
      <c r="CF57" s="107"/>
      <c r="CG57" s="107"/>
      <c r="CH57" s="107"/>
      <c r="CI57" s="107"/>
      <c r="CJ57" s="107"/>
      <c r="CK57" s="107"/>
      <c r="CL57" s="107"/>
      <c r="CM57" s="107"/>
      <c r="CN57" s="107"/>
      <c r="CO57" s="107"/>
      <c r="CP57" s="107"/>
      <c r="CQ57" s="107"/>
      <c r="CR57" s="107"/>
      <c r="CS57" s="107"/>
      <c r="CT57" s="107"/>
      <c r="CU57" s="107"/>
      <c r="CV57" s="107"/>
      <c r="CW57" s="107"/>
      <c r="CX57" s="107"/>
      <c r="CY57" s="107"/>
      <c r="CZ57" s="107"/>
      <c r="DA57" s="107"/>
      <c r="DB57" s="107"/>
      <c r="DC57" s="107"/>
      <c r="DD57" s="107"/>
      <c r="DE57" s="107"/>
      <c r="DF57" s="107"/>
      <c r="DG57" s="107"/>
      <c r="DH57" s="107"/>
      <c r="DI57" s="107"/>
      <c r="DJ57" s="107"/>
      <c r="DK57" s="107"/>
    </row>
    <row r="58" spans="7:115" x14ac:dyDescent="0.35">
      <c r="G58" t="s">
        <v>273</v>
      </c>
      <c r="H58" s="3">
        <v>49.5</v>
      </c>
      <c r="I58" s="3">
        <v>56.5</v>
      </c>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row>
    <row r="59" spans="7:115" x14ac:dyDescent="0.35">
      <c r="G59" t="s">
        <v>247</v>
      </c>
      <c r="H59" s="3">
        <v>49</v>
      </c>
      <c r="I59" s="3">
        <v>55.5</v>
      </c>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row>
    <row r="60" spans="7:115" x14ac:dyDescent="0.35">
      <c r="G60" t="s">
        <v>13</v>
      </c>
      <c r="H60" s="3">
        <v>0</v>
      </c>
      <c r="I60" s="3">
        <v>0</v>
      </c>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row>
    <row r="61" spans="7:115" x14ac:dyDescent="0.35">
      <c r="G61" t="s">
        <v>14</v>
      </c>
      <c r="H61" s="3">
        <v>0</v>
      </c>
      <c r="I61" s="3">
        <v>0</v>
      </c>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row>
    <row r="62" spans="7:115" x14ac:dyDescent="0.35">
      <c r="G62" t="s">
        <v>318</v>
      </c>
      <c r="H62" s="6">
        <v>5</v>
      </c>
      <c r="I62" s="6">
        <v>2</v>
      </c>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6"/>
      <c r="CA62" s="6"/>
      <c r="CB62" s="6"/>
      <c r="CC62" s="6"/>
      <c r="CD62" s="6"/>
      <c r="CE62" s="6"/>
      <c r="CF62" s="6"/>
      <c r="CG62" s="6"/>
      <c r="CH62" s="6"/>
      <c r="CI62" s="6"/>
      <c r="CJ62" s="6"/>
      <c r="CK62" s="6"/>
      <c r="CL62" s="6"/>
      <c r="CM62" s="6"/>
      <c r="CN62" s="6"/>
      <c r="CO62" s="6"/>
      <c r="CP62" s="6"/>
      <c r="CQ62" s="6"/>
      <c r="CR62" s="6"/>
      <c r="CS62" s="6"/>
      <c r="CT62" s="6"/>
      <c r="CU62" s="6"/>
      <c r="CV62" s="6"/>
      <c r="CW62" s="6"/>
      <c r="CX62" s="6"/>
      <c r="CY62" s="6"/>
      <c r="CZ62" s="6"/>
      <c r="DA62" s="6"/>
      <c r="DB62" s="6"/>
      <c r="DC62" s="6"/>
      <c r="DD62" s="6"/>
      <c r="DE62" s="6"/>
      <c r="DF62" s="6"/>
      <c r="DG62" s="6"/>
      <c r="DH62" s="6"/>
      <c r="DI62" s="6"/>
      <c r="DJ62" s="6"/>
      <c r="DK62" s="6"/>
    </row>
    <row r="63" spans="7:115" x14ac:dyDescent="0.35">
      <c r="DI63" s="6"/>
    </row>
    <row r="64" spans="7:115" x14ac:dyDescent="0.35">
      <c r="G64" t="s">
        <v>275</v>
      </c>
      <c r="H64" s="3">
        <f>H59*H57*100</f>
        <v>14700</v>
      </c>
      <c r="I64" s="3">
        <f>I59*I57*100</f>
        <v>22200</v>
      </c>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row>
    <row r="65" spans="7:115" x14ac:dyDescent="0.35">
      <c r="G65" t="s">
        <v>274</v>
      </c>
      <c r="H65" s="3">
        <f>(H55*100+H61)*H57+H60</f>
        <v>170.99999999999997</v>
      </c>
      <c r="I65" s="3">
        <f>(I55*100+I61)*I57+I60</f>
        <v>168</v>
      </c>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row>
    <row r="66" spans="7:115" x14ac:dyDescent="0.35">
      <c r="G66" t="s">
        <v>69</v>
      </c>
      <c r="H66" s="49">
        <f>2*(H60+H57*H61)/( (H56-H55)*100*H57 )</f>
        <v>0</v>
      </c>
      <c r="I66" s="49">
        <f>2*(I60+I57*I61)/( (I56-I55)*100*I57 )</f>
        <v>0</v>
      </c>
      <c r="J66" s="49"/>
      <c r="K66" s="49"/>
      <c r="L66" s="49"/>
      <c r="M66" s="49"/>
      <c r="N66" s="49"/>
      <c r="O66" s="49"/>
      <c r="P66" s="49"/>
      <c r="Q66" s="49"/>
      <c r="R66" s="49"/>
      <c r="S66" s="49"/>
      <c r="T66" s="49"/>
      <c r="U66" s="49"/>
      <c r="V66" s="49"/>
      <c r="W66" s="49"/>
      <c r="X66" s="49"/>
      <c r="Y66" s="49"/>
      <c r="Z66" s="49"/>
      <c r="AA66" s="49"/>
      <c r="AB66" s="49"/>
      <c r="AC66" s="49"/>
      <c r="AD66" s="49"/>
      <c r="AE66" s="49"/>
      <c r="AF66" s="49"/>
      <c r="AG66" s="49"/>
      <c r="AH66" s="49"/>
      <c r="AI66" s="49"/>
      <c r="AJ66" s="49"/>
      <c r="AK66" s="49"/>
      <c r="AL66" s="49"/>
      <c r="AM66" s="49"/>
      <c r="AN66" s="49"/>
      <c r="AO66" s="49"/>
      <c r="AP66" s="49"/>
      <c r="AQ66" s="49"/>
      <c r="AR66" s="49"/>
      <c r="AS66" s="49"/>
      <c r="AT66" s="49"/>
      <c r="AU66" s="49"/>
      <c r="AV66" s="49"/>
      <c r="AW66" s="49"/>
      <c r="AX66" s="49"/>
      <c r="AY66" s="49"/>
      <c r="AZ66" s="49"/>
      <c r="BA66" s="49"/>
      <c r="BB66" s="49"/>
      <c r="BC66" s="49"/>
      <c r="BD66" s="49"/>
      <c r="BE66" s="49"/>
      <c r="BF66" s="49"/>
      <c r="BG66" s="49"/>
      <c r="BH66" s="49"/>
      <c r="BI66" s="49"/>
      <c r="BJ66" s="49"/>
      <c r="BK66" s="49"/>
      <c r="BL66" s="49"/>
      <c r="BM66" s="49"/>
      <c r="BN66" s="49"/>
      <c r="BO66" s="49"/>
      <c r="BP66" s="49"/>
      <c r="BQ66" s="49"/>
      <c r="BR66" s="49"/>
      <c r="BS66" s="49"/>
      <c r="BT66" s="49"/>
      <c r="BU66" s="49"/>
      <c r="BV66" s="49"/>
      <c r="BW66" s="49"/>
      <c r="BX66" s="49"/>
      <c r="BY66" s="49"/>
      <c r="BZ66" s="49"/>
      <c r="CA66" s="49"/>
      <c r="CB66" s="49"/>
      <c r="CC66" s="49"/>
      <c r="CD66" s="49"/>
      <c r="CE66" s="49"/>
      <c r="CF66" s="49"/>
      <c r="CG66" s="49"/>
      <c r="CH66" s="49"/>
      <c r="CI66" s="49"/>
      <c r="CJ66" s="49"/>
      <c r="CK66" s="49"/>
      <c r="CL66" s="49"/>
      <c r="CM66" s="49"/>
      <c r="CN66" s="49"/>
      <c r="CO66" s="49"/>
      <c r="CP66" s="49"/>
      <c r="CQ66" s="49"/>
      <c r="CR66" s="49"/>
      <c r="CS66" s="49"/>
      <c r="CT66" s="49"/>
      <c r="CU66" s="49"/>
      <c r="CV66" s="49"/>
      <c r="CW66" s="49"/>
      <c r="CX66" s="49"/>
      <c r="CY66" s="49"/>
      <c r="CZ66" s="49"/>
      <c r="DA66" s="49"/>
      <c r="DB66" s="49"/>
      <c r="DC66" s="49"/>
      <c r="DD66" s="49"/>
      <c r="DE66" s="49"/>
      <c r="DF66" s="49"/>
      <c r="DG66" s="49"/>
      <c r="DH66" s="49"/>
      <c r="DI66" s="49"/>
      <c r="DJ66" s="49"/>
      <c r="DK66" s="49"/>
    </row>
    <row r="67" spans="7:115" x14ac:dyDescent="0.35">
      <c r="G67" t="s">
        <v>248</v>
      </c>
      <c r="H67" s="3">
        <f>(H56-H55)*100*H57-2*(H60+H57*H61)</f>
        <v>66.000000000000028</v>
      </c>
      <c r="I67" s="3">
        <f>(I56-I55)*100*I57-2*(I60+I57*I61)</f>
        <v>19.999999999999996</v>
      </c>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row>
    <row r="68" spans="7:115" x14ac:dyDescent="0.35">
      <c r="G68" t="s">
        <v>319</v>
      </c>
      <c r="H68" s="8">
        <f>H67/H64*(50/H62)</f>
        <v>4.4897959183673487E-2</v>
      </c>
      <c r="I68" s="8">
        <f>I67/I64*(50/I62)</f>
        <v>2.2522522522522518E-2</v>
      </c>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c r="CC68" s="8"/>
      <c r="CD68" s="8"/>
      <c r="CE68" s="8"/>
      <c r="CF68" s="8"/>
      <c r="CG68" s="8"/>
      <c r="CH68" s="8"/>
      <c r="CI68" s="8"/>
      <c r="CJ68" s="8"/>
      <c r="CK68" s="8"/>
      <c r="CL68" s="8"/>
      <c r="CM68" s="8"/>
      <c r="CN68" s="8"/>
      <c r="CO68" s="8"/>
      <c r="CP68" s="8"/>
      <c r="CQ68" s="8"/>
      <c r="CR68" s="8"/>
      <c r="CS68" s="8"/>
      <c r="CT68" s="8"/>
      <c r="CU68" s="8"/>
      <c r="CV68" s="8"/>
      <c r="CW68" s="8"/>
      <c r="CX68" s="8"/>
      <c r="CY68" s="8"/>
      <c r="CZ68" s="8"/>
      <c r="DA68" s="8"/>
      <c r="DB68" s="8"/>
      <c r="DC68" s="8"/>
      <c r="DD68" s="8"/>
      <c r="DE68" s="8"/>
      <c r="DF68" s="8"/>
      <c r="DG68" s="8"/>
      <c r="DH68" s="8"/>
      <c r="DI68" s="8"/>
      <c r="DJ68" s="8"/>
      <c r="DK68" s="8"/>
    </row>
    <row r="70" spans="7:115" x14ac:dyDescent="0.35">
      <c r="G70" s="29"/>
      <c r="H70" s="28">
        <f>SUMPRODUCT(I64:DK64,I68:DK68,I62:DK62)/SUMPRODUCT(I64:DK64,I62:DK62)</f>
        <v>2.2522522522522518E-2</v>
      </c>
      <c r="K70" s="30"/>
    </row>
    <row r="72" spans="7:115" ht="18.5" x14ac:dyDescent="0.45">
      <c r="G72" s="1" t="s">
        <v>327</v>
      </c>
    </row>
    <row r="73" spans="7:115" x14ac:dyDescent="0.35">
      <c r="G73" t="s">
        <v>328</v>
      </c>
      <c r="H73" s="178" t="s">
        <v>366</v>
      </c>
      <c r="I73" s="171"/>
      <c r="J73" s="171"/>
      <c r="K73" s="168"/>
      <c r="L73" s="168"/>
      <c r="M73" s="168"/>
      <c r="N73" s="165"/>
      <c r="O73" s="166"/>
      <c r="P73" s="156"/>
      <c r="Q73" s="151"/>
      <c r="R73" s="146"/>
      <c r="S73" s="146"/>
      <c r="T73" s="134"/>
      <c r="U73" s="129"/>
      <c r="V73" s="131"/>
      <c r="W73" s="128"/>
      <c r="X73" s="122"/>
      <c r="Y73" s="118"/>
      <c r="Z73" s="118"/>
      <c r="AA73" s="118"/>
      <c r="AB73" s="117"/>
      <c r="AC73" s="115"/>
      <c r="AD73" s="131"/>
      <c r="AE73" s="108"/>
      <c r="AF73" s="107"/>
      <c r="AG73" s="90"/>
      <c r="AH73" s="86"/>
      <c r="AI73" s="87"/>
      <c r="AJ73" s="87"/>
      <c r="AK73" s="87"/>
      <c r="AL73" s="87"/>
      <c r="AM73" s="88"/>
      <c r="AN73" s="88"/>
    </row>
    <row r="74" spans="7:115" x14ac:dyDescent="0.35">
      <c r="G74" t="s">
        <v>329</v>
      </c>
      <c r="H74" s="3">
        <v>4.7</v>
      </c>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row>
    <row r="75" spans="7:115" x14ac:dyDescent="0.35">
      <c r="G75" t="s">
        <v>246</v>
      </c>
      <c r="H75" s="178">
        <v>7</v>
      </c>
      <c r="I75" s="171"/>
      <c r="J75" s="171"/>
      <c r="K75" s="168"/>
      <c r="L75" s="168"/>
      <c r="M75" s="168"/>
      <c r="N75" s="165"/>
      <c r="O75" s="166"/>
      <c r="P75" s="156"/>
      <c r="Q75" s="151"/>
      <c r="R75" s="146"/>
      <c r="S75" s="146"/>
      <c r="T75" s="134"/>
      <c r="U75" s="129"/>
      <c r="V75" s="131"/>
      <c r="W75" s="128"/>
      <c r="X75" s="122"/>
      <c r="Y75" s="118"/>
      <c r="Z75" s="118"/>
      <c r="AA75" s="118"/>
      <c r="AB75" s="117"/>
      <c r="AC75" s="115"/>
      <c r="AD75" s="131"/>
      <c r="AE75" s="108"/>
      <c r="AF75" s="107"/>
      <c r="AG75" s="90"/>
      <c r="AH75" s="86"/>
      <c r="AI75" s="87"/>
      <c r="AJ75" s="87"/>
      <c r="AK75" s="87"/>
      <c r="AL75" s="87"/>
      <c r="AM75" s="88"/>
      <c r="AN75" s="88"/>
    </row>
    <row r="76" spans="7:115" x14ac:dyDescent="0.35">
      <c r="G76" t="s">
        <v>190</v>
      </c>
      <c r="H76" s="3">
        <v>26</v>
      </c>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row>
    <row r="77" spans="7:115" x14ac:dyDescent="0.35">
      <c r="G77" t="s">
        <v>330</v>
      </c>
      <c r="H77" s="178" t="s">
        <v>355</v>
      </c>
      <c r="I77" s="171"/>
      <c r="J77" s="171"/>
      <c r="K77" s="168"/>
      <c r="L77" s="168"/>
      <c r="M77" s="168"/>
      <c r="N77" s="165"/>
      <c r="O77" s="166"/>
      <c r="P77" s="156"/>
      <c r="Q77" s="151"/>
      <c r="R77" s="146"/>
      <c r="S77" s="146"/>
      <c r="T77" s="134"/>
      <c r="U77" s="129"/>
      <c r="V77" s="131"/>
      <c r="W77" s="128"/>
      <c r="X77" s="122"/>
      <c r="Y77" s="118"/>
      <c r="Z77" s="118"/>
      <c r="AA77" s="118"/>
      <c r="AB77" s="117"/>
      <c r="AC77" s="115"/>
      <c r="AD77" s="131"/>
      <c r="AE77" s="108"/>
      <c r="AF77" s="107"/>
      <c r="AG77" s="90"/>
      <c r="AH77" s="86"/>
      <c r="AI77" s="87"/>
      <c r="AJ77" s="87"/>
      <c r="AK77" s="87"/>
      <c r="AL77" s="87"/>
      <c r="AM77" s="88"/>
      <c r="AN77" s="88"/>
    </row>
    <row r="78" spans="7:115" x14ac:dyDescent="0.35">
      <c r="G78" t="s">
        <v>331</v>
      </c>
      <c r="H78" s="3">
        <v>4.7</v>
      </c>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row>
    <row r="79" spans="7:115" x14ac:dyDescent="0.35">
      <c r="G79" t="s">
        <v>246</v>
      </c>
      <c r="H79" s="178">
        <v>2</v>
      </c>
      <c r="I79" s="171"/>
      <c r="J79" s="171"/>
      <c r="K79" s="168"/>
      <c r="L79" s="168"/>
      <c r="M79" s="168"/>
      <c r="N79" s="165"/>
      <c r="O79" s="166"/>
      <c r="P79" s="156"/>
      <c r="Q79" s="151"/>
      <c r="R79" s="146"/>
      <c r="S79" s="146"/>
      <c r="T79" s="134"/>
      <c r="U79" s="129"/>
      <c r="V79" s="131"/>
      <c r="W79" s="128"/>
      <c r="X79" s="122"/>
      <c r="Y79" s="118"/>
      <c r="Z79" s="118"/>
      <c r="AA79" s="118"/>
      <c r="AB79" s="117"/>
      <c r="AC79" s="115"/>
      <c r="AD79" s="131"/>
      <c r="AE79" s="108"/>
      <c r="AF79" s="107"/>
      <c r="AG79" s="90"/>
      <c r="AH79" s="86"/>
      <c r="AI79" s="87"/>
      <c r="AJ79" s="87"/>
      <c r="AK79" s="87"/>
      <c r="AL79" s="87"/>
      <c r="AM79" s="88"/>
      <c r="AN79" s="88"/>
    </row>
    <row r="80" spans="7:115" x14ac:dyDescent="0.35">
      <c r="G80" t="s">
        <v>190</v>
      </c>
      <c r="H80" s="3">
        <v>120</v>
      </c>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row>
    <row r="81" spans="7:40" x14ac:dyDescent="0.35">
      <c r="G81" t="s">
        <v>13</v>
      </c>
      <c r="H81" s="3">
        <v>10</v>
      </c>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row>
    <row r="82" spans="7:40" x14ac:dyDescent="0.35">
      <c r="G82" t="s">
        <v>14</v>
      </c>
      <c r="H82" s="3">
        <v>0.8</v>
      </c>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row>
    <row r="83" spans="7:40" x14ac:dyDescent="0.35">
      <c r="G83" t="s">
        <v>318</v>
      </c>
      <c r="H83" s="6">
        <v>18</v>
      </c>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row>
    <row r="85" spans="7:40" x14ac:dyDescent="0.35">
      <c r="G85" t="s">
        <v>332</v>
      </c>
      <c r="H85" s="3">
        <f>H76*H75*100</f>
        <v>18200</v>
      </c>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row>
    <row r="86" spans="7:40" x14ac:dyDescent="0.35">
      <c r="G86" t="s">
        <v>333</v>
      </c>
      <c r="H86" s="3">
        <f>H80*H79*100</f>
        <v>24000</v>
      </c>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row>
    <row r="87" spans="7:40" x14ac:dyDescent="0.35">
      <c r="G87" t="s">
        <v>334</v>
      </c>
      <c r="H87" s="3">
        <f>(100*H74+H82)*H75+H81</f>
        <v>3305.6</v>
      </c>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row>
    <row r="88" spans="7:40" x14ac:dyDescent="0.35">
      <c r="G88" t="s">
        <v>335</v>
      </c>
      <c r="H88" s="3">
        <f>(100*H78-H82)*H79-H81</f>
        <v>928.4</v>
      </c>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row>
    <row r="89" spans="7:40" x14ac:dyDescent="0.35">
      <c r="G89" t="s">
        <v>248</v>
      </c>
      <c r="H89" s="3">
        <f>H88-H87</f>
        <v>-2377.1999999999998</v>
      </c>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row>
    <row r="90" spans="7:40" x14ac:dyDescent="0.35">
      <c r="G90" t="s">
        <v>319</v>
      </c>
      <c r="H90" s="8">
        <f>H89/H86*(50/H83)</f>
        <v>-0.27513888888888888</v>
      </c>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row>
  </sheetData>
  <mergeCells count="2">
    <mergeCell ref="F11:F16"/>
    <mergeCell ref="F28:F34"/>
  </mergeCells>
  <hyperlinks>
    <hyperlink ref="H2" r:id="rId1" xr:uid="{00000000-0004-0000-0600-000000000000}"/>
  </hyperlinks>
  <pageMargins left="0.7" right="0.7" top="0.75" bottom="0.75" header="0.3" footer="0.3"/>
  <pageSetup orientation="portrait"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DK90"/>
  <sheetViews>
    <sheetView topLeftCell="B41" zoomScaleNormal="100" workbookViewId="0">
      <selection activeCell="H61" sqref="H61"/>
    </sheetView>
  </sheetViews>
  <sheetFormatPr defaultRowHeight="14.5" x14ac:dyDescent="0.35"/>
  <cols>
    <col min="1" max="1" width="45.1796875" customWidth="1"/>
    <col min="3" max="3" width="14" customWidth="1"/>
    <col min="5" max="5" width="10" customWidth="1"/>
    <col min="6" max="6" width="5" customWidth="1"/>
    <col min="7" max="7" width="35.453125" customWidth="1"/>
    <col min="8" max="8" width="14.54296875" customWidth="1"/>
    <col min="9" max="9" width="11.453125" customWidth="1"/>
    <col min="10" max="10" width="13" customWidth="1"/>
    <col min="11" max="11" width="10.26953125" customWidth="1"/>
    <col min="12" max="12" width="10.453125" customWidth="1"/>
    <col min="13" max="14" width="11.1796875" customWidth="1"/>
    <col min="15" max="15" width="10.1796875" customWidth="1"/>
    <col min="16" max="16" width="9.81640625" customWidth="1"/>
    <col min="17" max="17" width="11.1796875" customWidth="1"/>
    <col min="18" max="18" width="9" customWidth="1"/>
    <col min="20" max="20" width="9.54296875" customWidth="1"/>
    <col min="21" max="21" width="11.453125" customWidth="1"/>
    <col min="22" max="22" width="10" customWidth="1"/>
  </cols>
  <sheetData>
    <row r="2" spans="1:26" x14ac:dyDescent="0.35">
      <c r="G2" t="s">
        <v>20</v>
      </c>
      <c r="H2" s="4" t="s">
        <v>21</v>
      </c>
    </row>
    <row r="4" spans="1:26" ht="18.5" x14ac:dyDescent="0.45">
      <c r="A4" t="s">
        <v>12</v>
      </c>
      <c r="B4" t="s">
        <v>16</v>
      </c>
      <c r="C4" t="s">
        <v>17</v>
      </c>
      <c r="D4" t="s">
        <v>18</v>
      </c>
      <c r="E4" t="s">
        <v>32</v>
      </c>
      <c r="G4" s="1" t="s">
        <v>12</v>
      </c>
      <c r="H4" s="1" t="s">
        <v>19</v>
      </c>
    </row>
    <row r="5" spans="1:26" x14ac:dyDescent="0.35">
      <c r="A5" t="s">
        <v>13</v>
      </c>
      <c r="B5" s="3">
        <v>7</v>
      </c>
      <c r="C5" s="3">
        <v>10</v>
      </c>
      <c r="D5" s="3">
        <v>2</v>
      </c>
      <c r="E5" s="3">
        <v>25</v>
      </c>
      <c r="G5" t="s">
        <v>13</v>
      </c>
      <c r="H5" s="3">
        <v>10</v>
      </c>
      <c r="J5" t="s">
        <v>62</v>
      </c>
    </row>
    <row r="6" spans="1:26" x14ac:dyDescent="0.35">
      <c r="A6" t="s">
        <v>14</v>
      </c>
      <c r="B6" s="3">
        <v>1.25</v>
      </c>
      <c r="C6" s="3">
        <v>0.75</v>
      </c>
      <c r="D6" s="3">
        <v>1</v>
      </c>
      <c r="E6" s="3">
        <v>1.8</v>
      </c>
      <c r="G6" t="s">
        <v>14</v>
      </c>
      <c r="H6" s="3">
        <v>0.85</v>
      </c>
    </row>
    <row r="7" spans="1:26" x14ac:dyDescent="0.35">
      <c r="A7" t="s">
        <v>15</v>
      </c>
      <c r="B7" s="3">
        <v>17</v>
      </c>
      <c r="C7" s="3">
        <v>20</v>
      </c>
      <c r="D7" s="3">
        <v>20</v>
      </c>
      <c r="E7" s="3">
        <v>30</v>
      </c>
      <c r="G7" t="s">
        <v>15</v>
      </c>
      <c r="H7" s="3">
        <v>20</v>
      </c>
    </row>
    <row r="8" spans="1:26" x14ac:dyDescent="0.35">
      <c r="G8" t="s">
        <v>177</v>
      </c>
      <c r="H8" s="25">
        <v>42664</v>
      </c>
      <c r="I8" s="70">
        <f ca="1">(H8-TODAY())/365*50</f>
        <v>-49.315068493150683</v>
      </c>
    </row>
    <row r="9" spans="1:26" x14ac:dyDescent="0.35">
      <c r="H9" s="3"/>
    </row>
    <row r="10" spans="1:26" ht="18.5" x14ac:dyDescent="0.45">
      <c r="G10" s="1" t="s">
        <v>2</v>
      </c>
    </row>
    <row r="11" spans="1:26" x14ac:dyDescent="0.35">
      <c r="F11" s="283" t="s">
        <v>29</v>
      </c>
      <c r="G11" t="s">
        <v>11</v>
      </c>
      <c r="H11" s="192" t="s">
        <v>346</v>
      </c>
      <c r="I11" s="192" t="s">
        <v>374</v>
      </c>
      <c r="J11" s="192" t="s">
        <v>1</v>
      </c>
      <c r="K11" s="192" t="s">
        <v>355</v>
      </c>
      <c r="L11" s="192" t="s">
        <v>87</v>
      </c>
      <c r="M11" s="192" t="s">
        <v>368</v>
      </c>
      <c r="N11" s="192" t="s">
        <v>1</v>
      </c>
      <c r="O11" s="192" t="s">
        <v>356</v>
      </c>
      <c r="P11" s="192" t="s">
        <v>184</v>
      </c>
      <c r="Q11" s="192" t="s">
        <v>370</v>
      </c>
      <c r="R11" s="192" t="s">
        <v>93</v>
      </c>
      <c r="S11" s="192" t="s">
        <v>366</v>
      </c>
      <c r="T11" s="192" t="s">
        <v>384</v>
      </c>
      <c r="U11" s="192" t="s">
        <v>362</v>
      </c>
      <c r="V11" s="192" t="s">
        <v>92</v>
      </c>
      <c r="W11" s="192" t="s">
        <v>338</v>
      </c>
      <c r="X11" s="192" t="s">
        <v>373</v>
      </c>
      <c r="Y11" s="192" t="s">
        <v>374</v>
      </c>
      <c r="Z11" s="192" t="s">
        <v>374</v>
      </c>
    </row>
    <row r="12" spans="1:26" x14ac:dyDescent="0.35">
      <c r="F12" s="284"/>
      <c r="G12" t="s">
        <v>7</v>
      </c>
      <c r="H12" s="3">
        <v>55</v>
      </c>
      <c r="I12" s="3">
        <v>15.5</v>
      </c>
      <c r="J12" s="3">
        <v>107</v>
      </c>
      <c r="K12" s="3">
        <v>117</v>
      </c>
      <c r="L12" s="3">
        <v>755</v>
      </c>
      <c r="M12" s="3">
        <v>770</v>
      </c>
      <c r="N12" s="3">
        <v>107</v>
      </c>
      <c r="O12" s="3">
        <v>120</v>
      </c>
      <c r="P12" s="3">
        <v>28.5</v>
      </c>
      <c r="Q12" s="3">
        <v>68.5</v>
      </c>
      <c r="R12" s="3">
        <v>52.5</v>
      </c>
      <c r="S12" s="3">
        <v>22.5</v>
      </c>
      <c r="T12" s="3">
        <v>66</v>
      </c>
      <c r="U12" s="3">
        <v>128</v>
      </c>
      <c r="V12" s="3">
        <v>30</v>
      </c>
      <c r="W12" s="3">
        <v>50</v>
      </c>
      <c r="X12" s="3">
        <v>30</v>
      </c>
      <c r="Y12" s="3">
        <v>20</v>
      </c>
      <c r="Z12" s="3">
        <v>21</v>
      </c>
    </row>
    <row r="13" spans="1:26" x14ac:dyDescent="0.35">
      <c r="F13" s="284"/>
      <c r="G13" t="s">
        <v>30</v>
      </c>
      <c r="H13" s="3">
        <v>0.5</v>
      </c>
      <c r="I13" s="3">
        <v>0.28000000000000003</v>
      </c>
      <c r="J13" s="3">
        <v>0.85</v>
      </c>
      <c r="K13" s="3">
        <v>0.34</v>
      </c>
      <c r="L13" s="3">
        <v>5.5</v>
      </c>
      <c r="M13" s="3">
        <v>4.7</v>
      </c>
      <c r="N13" s="3">
        <v>0.8</v>
      </c>
      <c r="O13" s="3">
        <v>1.5</v>
      </c>
      <c r="P13" s="3">
        <v>0.35</v>
      </c>
      <c r="Q13" s="3">
        <v>0.85</v>
      </c>
      <c r="R13" s="3">
        <v>0.7</v>
      </c>
      <c r="S13" s="3">
        <v>0.4</v>
      </c>
      <c r="T13" s="3">
        <v>0.5</v>
      </c>
      <c r="U13" s="3">
        <v>0.9</v>
      </c>
      <c r="V13" s="3">
        <v>0.26</v>
      </c>
      <c r="W13" s="3">
        <v>0.35</v>
      </c>
      <c r="X13" s="3">
        <v>0.25</v>
      </c>
      <c r="Y13" s="3">
        <v>0.4</v>
      </c>
      <c r="Z13" s="3">
        <v>0.2</v>
      </c>
    </row>
    <row r="14" spans="1:26" x14ac:dyDescent="0.35">
      <c r="F14" s="284"/>
      <c r="G14" t="s">
        <v>3</v>
      </c>
      <c r="H14" s="6">
        <v>10</v>
      </c>
      <c r="I14" s="192">
        <v>5</v>
      </c>
      <c r="J14" s="192">
        <v>3</v>
      </c>
      <c r="K14" s="6">
        <v>4</v>
      </c>
      <c r="L14" s="6">
        <v>1</v>
      </c>
      <c r="M14" s="192">
        <v>2</v>
      </c>
      <c r="N14" s="6">
        <v>3</v>
      </c>
      <c r="O14" s="6">
        <v>2</v>
      </c>
      <c r="P14" s="6">
        <v>4</v>
      </c>
      <c r="Q14" s="6">
        <v>3</v>
      </c>
      <c r="R14" s="6">
        <v>2</v>
      </c>
      <c r="S14" s="6">
        <v>3</v>
      </c>
      <c r="T14" s="6">
        <v>1</v>
      </c>
      <c r="U14" s="6">
        <v>1</v>
      </c>
      <c r="V14" s="6">
        <v>10</v>
      </c>
      <c r="W14" s="6">
        <v>2</v>
      </c>
      <c r="X14" s="6">
        <v>3</v>
      </c>
      <c r="Y14" s="6">
        <v>5</v>
      </c>
      <c r="Z14" s="6">
        <v>5</v>
      </c>
    </row>
    <row r="15" spans="1:26" x14ac:dyDescent="0.35">
      <c r="F15" s="284"/>
      <c r="G15" t="s">
        <v>10</v>
      </c>
      <c r="H15" s="6">
        <v>2</v>
      </c>
      <c r="I15" s="6">
        <v>4</v>
      </c>
      <c r="J15" s="6">
        <v>3</v>
      </c>
      <c r="K15" s="6">
        <v>2</v>
      </c>
      <c r="L15" s="6">
        <v>2</v>
      </c>
      <c r="M15" s="6">
        <v>2</v>
      </c>
      <c r="N15" s="6">
        <v>3</v>
      </c>
      <c r="O15" s="6">
        <v>1</v>
      </c>
      <c r="P15" s="6">
        <v>2</v>
      </c>
      <c r="Q15" s="6">
        <v>2</v>
      </c>
      <c r="R15" s="6">
        <v>1</v>
      </c>
      <c r="S15" s="6">
        <v>2</v>
      </c>
      <c r="T15" s="6">
        <v>1</v>
      </c>
      <c r="U15" s="6">
        <v>2</v>
      </c>
      <c r="V15" s="6">
        <v>1</v>
      </c>
      <c r="W15" s="6">
        <v>3</v>
      </c>
      <c r="X15" s="6">
        <v>2</v>
      </c>
      <c r="Y15" s="6">
        <v>3</v>
      </c>
      <c r="Z15" s="6">
        <v>3</v>
      </c>
    </row>
    <row r="16" spans="1:26" x14ac:dyDescent="0.35">
      <c r="F16" s="290"/>
      <c r="G16" t="s">
        <v>23</v>
      </c>
      <c r="H16" s="6">
        <v>0</v>
      </c>
      <c r="I16" s="6">
        <v>0</v>
      </c>
      <c r="J16" s="6">
        <v>0</v>
      </c>
      <c r="K16" s="6">
        <v>0</v>
      </c>
      <c r="L16" s="6">
        <v>0</v>
      </c>
      <c r="M16" s="6">
        <v>0</v>
      </c>
      <c r="N16" s="6">
        <v>0</v>
      </c>
      <c r="O16" s="6">
        <v>0</v>
      </c>
      <c r="P16" s="6">
        <v>0</v>
      </c>
      <c r="Q16" s="6">
        <v>0</v>
      </c>
      <c r="R16" s="6">
        <v>0</v>
      </c>
      <c r="S16" s="6">
        <v>0</v>
      </c>
      <c r="T16" s="6">
        <v>0</v>
      </c>
      <c r="U16" s="6">
        <v>0</v>
      </c>
      <c r="V16" s="6">
        <v>0</v>
      </c>
      <c r="W16" s="6">
        <v>0</v>
      </c>
      <c r="X16" s="6">
        <v>0</v>
      </c>
      <c r="Y16" s="6">
        <v>0</v>
      </c>
      <c r="Z16" s="6">
        <v>0</v>
      </c>
    </row>
    <row r="17" spans="1:26" x14ac:dyDescent="0.35">
      <c r="H17" s="192"/>
      <c r="I17" s="192"/>
      <c r="J17" s="192"/>
      <c r="K17" s="192"/>
      <c r="L17" s="192"/>
      <c r="M17" s="192"/>
      <c r="O17" s="192"/>
      <c r="P17" s="192"/>
      <c r="Q17" s="192"/>
      <c r="R17" s="192"/>
      <c r="S17" s="192"/>
      <c r="T17" s="192"/>
      <c r="U17" s="192"/>
      <c r="V17" s="192"/>
      <c r="W17" s="192"/>
      <c r="X17" s="192"/>
      <c r="Y17" s="192"/>
      <c r="Z17" s="192"/>
    </row>
    <row r="18" spans="1:26" x14ac:dyDescent="0.35">
      <c r="G18" t="s">
        <v>4</v>
      </c>
      <c r="H18" s="5">
        <f>100*H14</f>
        <v>1000</v>
      </c>
      <c r="I18" s="5">
        <f t="shared" ref="I18:Y18" si="0">100*I14</f>
        <v>500</v>
      </c>
      <c r="J18" s="5">
        <f t="shared" si="0"/>
        <v>300</v>
      </c>
      <c r="K18" s="5">
        <f t="shared" si="0"/>
        <v>400</v>
      </c>
      <c r="L18" s="5">
        <f t="shared" si="0"/>
        <v>100</v>
      </c>
      <c r="M18" s="5">
        <f t="shared" si="0"/>
        <v>200</v>
      </c>
      <c r="N18" s="5">
        <f t="shared" si="0"/>
        <v>300</v>
      </c>
      <c r="O18" s="5">
        <f t="shared" si="0"/>
        <v>200</v>
      </c>
      <c r="P18" s="5">
        <f t="shared" si="0"/>
        <v>400</v>
      </c>
      <c r="Q18" s="5">
        <f t="shared" si="0"/>
        <v>300</v>
      </c>
      <c r="R18" s="5">
        <f t="shared" si="0"/>
        <v>200</v>
      </c>
      <c r="S18" s="5">
        <f t="shared" si="0"/>
        <v>300</v>
      </c>
      <c r="T18" s="5">
        <f t="shared" si="0"/>
        <v>100</v>
      </c>
      <c r="U18" s="5">
        <f t="shared" si="0"/>
        <v>100</v>
      </c>
      <c r="V18" s="5">
        <f t="shared" si="0"/>
        <v>1000</v>
      </c>
      <c r="W18" s="5">
        <f t="shared" si="0"/>
        <v>200</v>
      </c>
      <c r="X18" s="5">
        <f t="shared" si="0"/>
        <v>300</v>
      </c>
      <c r="Y18" s="5">
        <f t="shared" si="0"/>
        <v>500</v>
      </c>
      <c r="Z18" s="5">
        <f>100*Z14</f>
        <v>500</v>
      </c>
    </row>
    <row r="19" spans="1:26" x14ac:dyDescent="0.35">
      <c r="G19" t="s">
        <v>31</v>
      </c>
      <c r="H19" s="3">
        <f>$H$6*H14+$H$5+$H$7*H16</f>
        <v>18.5</v>
      </c>
      <c r="I19" s="3">
        <f t="shared" ref="I19:Y19" si="1">$H$6*I14+$H$5+$H$7*I16</f>
        <v>14.25</v>
      </c>
      <c r="J19" s="3">
        <f t="shared" si="1"/>
        <v>12.55</v>
      </c>
      <c r="K19" s="3">
        <f t="shared" si="1"/>
        <v>13.4</v>
      </c>
      <c r="L19" s="3">
        <f t="shared" si="1"/>
        <v>10.85</v>
      </c>
      <c r="M19" s="3">
        <f t="shared" si="1"/>
        <v>11.7</v>
      </c>
      <c r="N19" s="3">
        <f t="shared" si="1"/>
        <v>12.55</v>
      </c>
      <c r="O19" s="3">
        <f t="shared" si="1"/>
        <v>11.7</v>
      </c>
      <c r="P19" s="3">
        <f t="shared" si="1"/>
        <v>13.4</v>
      </c>
      <c r="Q19" s="3">
        <f t="shared" si="1"/>
        <v>12.55</v>
      </c>
      <c r="R19" s="3">
        <f t="shared" si="1"/>
        <v>11.7</v>
      </c>
      <c r="S19" s="3">
        <f t="shared" si="1"/>
        <v>12.55</v>
      </c>
      <c r="T19" s="3">
        <f t="shared" si="1"/>
        <v>10.85</v>
      </c>
      <c r="U19" s="3">
        <f t="shared" si="1"/>
        <v>10.85</v>
      </c>
      <c r="V19" s="3">
        <f t="shared" si="1"/>
        <v>18.5</v>
      </c>
      <c r="W19" s="3">
        <f t="shared" si="1"/>
        <v>11.7</v>
      </c>
      <c r="X19" s="3">
        <f t="shared" si="1"/>
        <v>12.55</v>
      </c>
      <c r="Y19" s="3">
        <f t="shared" si="1"/>
        <v>14.25</v>
      </c>
      <c r="Z19" s="3">
        <f>$H$6*Z14+$H$5+$H$7*Z16</f>
        <v>14.25</v>
      </c>
    </row>
    <row r="20" spans="1:26" x14ac:dyDescent="0.35">
      <c r="G20" t="s">
        <v>6</v>
      </c>
      <c r="H20" s="3">
        <f>H13*H18</f>
        <v>500</v>
      </c>
      <c r="I20" s="3">
        <f t="shared" ref="I20:Y20" si="2">I13*I18</f>
        <v>140</v>
      </c>
      <c r="J20" s="3">
        <f t="shared" si="2"/>
        <v>255</v>
      </c>
      <c r="K20" s="3">
        <f t="shared" si="2"/>
        <v>136</v>
      </c>
      <c r="L20" s="3">
        <f t="shared" si="2"/>
        <v>550</v>
      </c>
      <c r="M20" s="3">
        <f t="shared" si="2"/>
        <v>940</v>
      </c>
      <c r="N20" s="3">
        <f t="shared" si="2"/>
        <v>240</v>
      </c>
      <c r="O20" s="3">
        <f t="shared" si="2"/>
        <v>300</v>
      </c>
      <c r="P20" s="3">
        <f t="shared" si="2"/>
        <v>140</v>
      </c>
      <c r="Q20" s="3">
        <f t="shared" si="2"/>
        <v>255</v>
      </c>
      <c r="R20" s="3">
        <f t="shared" si="2"/>
        <v>140</v>
      </c>
      <c r="S20" s="3">
        <f t="shared" si="2"/>
        <v>120</v>
      </c>
      <c r="T20" s="3">
        <f t="shared" si="2"/>
        <v>50</v>
      </c>
      <c r="U20" s="3">
        <f t="shared" si="2"/>
        <v>90</v>
      </c>
      <c r="V20" s="3">
        <f t="shared" si="2"/>
        <v>260</v>
      </c>
      <c r="W20" s="3">
        <f t="shared" si="2"/>
        <v>70</v>
      </c>
      <c r="X20" s="3">
        <f t="shared" si="2"/>
        <v>75</v>
      </c>
      <c r="Y20" s="3">
        <f t="shared" si="2"/>
        <v>200</v>
      </c>
      <c r="Z20" s="3">
        <f>Z13*Z18</f>
        <v>100</v>
      </c>
    </row>
    <row r="21" spans="1:26" x14ac:dyDescent="0.35">
      <c r="G21" t="s">
        <v>28</v>
      </c>
      <c r="H21" s="3">
        <f>H20-H19</f>
        <v>481.5</v>
      </c>
      <c r="I21" s="3">
        <f t="shared" ref="I21:Z21" si="3">I20-I19</f>
        <v>125.75</v>
      </c>
      <c r="J21" s="3">
        <f t="shared" si="3"/>
        <v>242.45</v>
      </c>
      <c r="K21" s="3">
        <f t="shared" si="3"/>
        <v>122.6</v>
      </c>
      <c r="L21" s="3">
        <f t="shared" si="3"/>
        <v>539.15</v>
      </c>
      <c r="M21" s="3">
        <f t="shared" si="3"/>
        <v>928.3</v>
      </c>
      <c r="N21" s="3">
        <f t="shared" si="3"/>
        <v>227.45</v>
      </c>
      <c r="O21" s="3">
        <f t="shared" si="3"/>
        <v>288.3</v>
      </c>
      <c r="P21" s="3">
        <f t="shared" si="3"/>
        <v>126.6</v>
      </c>
      <c r="Q21" s="3">
        <f t="shared" si="3"/>
        <v>242.45</v>
      </c>
      <c r="R21" s="3">
        <f t="shared" si="3"/>
        <v>128.30000000000001</v>
      </c>
      <c r="S21" s="3">
        <f t="shared" si="3"/>
        <v>107.45</v>
      </c>
      <c r="T21" s="3">
        <f t="shared" si="3"/>
        <v>39.15</v>
      </c>
      <c r="U21" s="3">
        <f t="shared" si="3"/>
        <v>79.150000000000006</v>
      </c>
      <c r="V21" s="3">
        <f t="shared" si="3"/>
        <v>241.5</v>
      </c>
      <c r="W21" s="3">
        <f t="shared" si="3"/>
        <v>58.3</v>
      </c>
      <c r="X21" s="3">
        <f t="shared" si="3"/>
        <v>62.45</v>
      </c>
      <c r="Y21" s="3">
        <f t="shared" si="3"/>
        <v>185.75</v>
      </c>
      <c r="Z21" s="3">
        <f t="shared" si="3"/>
        <v>85.75</v>
      </c>
    </row>
    <row r="22" spans="1:26" x14ac:dyDescent="0.35">
      <c r="G22" t="s">
        <v>22</v>
      </c>
      <c r="H22" s="7">
        <f>H18*H12</f>
        <v>55000</v>
      </c>
      <c r="I22" s="7">
        <f t="shared" ref="I22:Y22" si="4">I18*I12</f>
        <v>7750</v>
      </c>
      <c r="J22" s="7">
        <f t="shared" si="4"/>
        <v>32100</v>
      </c>
      <c r="K22" s="7">
        <f t="shared" si="4"/>
        <v>46800</v>
      </c>
      <c r="L22" s="7">
        <f t="shared" si="4"/>
        <v>75500</v>
      </c>
      <c r="M22" s="7">
        <f t="shared" si="4"/>
        <v>154000</v>
      </c>
      <c r="N22" s="7">
        <f t="shared" si="4"/>
        <v>32100</v>
      </c>
      <c r="O22" s="7">
        <f t="shared" si="4"/>
        <v>24000</v>
      </c>
      <c r="P22" s="7">
        <f t="shared" si="4"/>
        <v>11400</v>
      </c>
      <c r="Q22" s="7">
        <f t="shared" si="4"/>
        <v>20550</v>
      </c>
      <c r="R22" s="7">
        <f t="shared" si="4"/>
        <v>10500</v>
      </c>
      <c r="S22" s="7">
        <f t="shared" si="4"/>
        <v>6750</v>
      </c>
      <c r="T22" s="7">
        <f t="shared" si="4"/>
        <v>6600</v>
      </c>
      <c r="U22" s="7">
        <f t="shared" si="4"/>
        <v>12800</v>
      </c>
      <c r="V22" s="7">
        <f t="shared" si="4"/>
        <v>30000</v>
      </c>
      <c r="W22" s="7">
        <f t="shared" si="4"/>
        <v>10000</v>
      </c>
      <c r="X22" s="7">
        <f t="shared" si="4"/>
        <v>9000</v>
      </c>
      <c r="Y22" s="7">
        <f t="shared" si="4"/>
        <v>10000</v>
      </c>
      <c r="Z22" s="7">
        <f>Z18*Z12</f>
        <v>10500</v>
      </c>
    </row>
    <row r="23" spans="1:26" x14ac:dyDescent="0.35">
      <c r="A23" t="s">
        <v>77</v>
      </c>
      <c r="G23" t="s">
        <v>8</v>
      </c>
      <c r="H23" s="8">
        <f>H21/H22*50/H15</f>
        <v>0.21886363636363634</v>
      </c>
      <c r="I23" s="8">
        <f t="shared" ref="I23:Z23" si="5">I21/I22*50/I15</f>
        <v>0.20282258064516129</v>
      </c>
      <c r="J23" s="8">
        <f t="shared" si="5"/>
        <v>0.12588265835929388</v>
      </c>
      <c r="K23" s="8">
        <f t="shared" si="5"/>
        <v>6.5491452991452995E-2</v>
      </c>
      <c r="L23" s="8">
        <f t="shared" si="5"/>
        <v>0.17852649006622515</v>
      </c>
      <c r="M23" s="8">
        <f t="shared" si="5"/>
        <v>0.15069805194805194</v>
      </c>
      <c r="N23" s="8">
        <f t="shared" si="5"/>
        <v>0.1180944963655244</v>
      </c>
      <c r="O23" s="8">
        <f t="shared" si="5"/>
        <v>0.60062500000000008</v>
      </c>
      <c r="P23" s="8">
        <f t="shared" si="5"/>
        <v>0.2776315789473684</v>
      </c>
      <c r="Q23" s="8">
        <f t="shared" si="5"/>
        <v>0.29495133819951336</v>
      </c>
      <c r="R23" s="8">
        <f t="shared" si="5"/>
        <v>0.61095238095238102</v>
      </c>
      <c r="S23" s="8">
        <f t="shared" si="5"/>
        <v>0.39796296296296296</v>
      </c>
      <c r="T23" s="8">
        <f t="shared" si="5"/>
        <v>0.29659090909090907</v>
      </c>
      <c r="U23" s="8">
        <f t="shared" si="5"/>
        <v>0.15458984375000001</v>
      </c>
      <c r="V23" s="8">
        <f t="shared" si="5"/>
        <v>0.40249999999999997</v>
      </c>
      <c r="W23" s="8">
        <f t="shared" si="5"/>
        <v>9.7166666666666665E-2</v>
      </c>
      <c r="X23" s="8">
        <f t="shared" si="5"/>
        <v>0.17347222222222222</v>
      </c>
      <c r="Y23" s="8">
        <f t="shared" si="5"/>
        <v>0.30958333333333338</v>
      </c>
      <c r="Z23" s="8">
        <f t="shared" si="5"/>
        <v>0.1361111111111111</v>
      </c>
    </row>
    <row r="24" spans="1:26" x14ac:dyDescent="0.35">
      <c r="A24" t="s">
        <v>76</v>
      </c>
      <c r="G24" t="s">
        <v>69</v>
      </c>
      <c r="H24" s="8">
        <f>H19/H20</f>
        <v>3.6999999999999998E-2</v>
      </c>
      <c r="I24" s="8">
        <f t="shared" ref="I24:Y24" si="6">I19/I20</f>
        <v>0.10178571428571428</v>
      </c>
      <c r="J24" s="8">
        <f t="shared" si="6"/>
        <v>4.9215686274509805E-2</v>
      </c>
      <c r="K24" s="8">
        <f t="shared" si="6"/>
        <v>9.8529411764705879E-2</v>
      </c>
      <c r="L24" s="8">
        <f t="shared" si="6"/>
        <v>1.9727272727272725E-2</v>
      </c>
      <c r="M24" s="8">
        <f t="shared" si="6"/>
        <v>1.2446808510638297E-2</v>
      </c>
      <c r="N24" s="8">
        <f t="shared" si="6"/>
        <v>5.2291666666666667E-2</v>
      </c>
      <c r="O24" s="8">
        <f t="shared" si="6"/>
        <v>3.9E-2</v>
      </c>
      <c r="P24" s="8">
        <f t="shared" si="6"/>
        <v>9.571428571428571E-2</v>
      </c>
      <c r="Q24" s="8">
        <f t="shared" si="6"/>
        <v>4.9215686274509805E-2</v>
      </c>
      <c r="R24" s="8">
        <f t="shared" si="6"/>
        <v>8.357142857142856E-2</v>
      </c>
      <c r="S24" s="8">
        <f t="shared" si="6"/>
        <v>0.10458333333333333</v>
      </c>
      <c r="T24" s="8">
        <f t="shared" si="6"/>
        <v>0.217</v>
      </c>
      <c r="U24" s="8">
        <f t="shared" si="6"/>
        <v>0.12055555555555555</v>
      </c>
      <c r="V24" s="8">
        <f t="shared" si="6"/>
        <v>7.1153846153846151E-2</v>
      </c>
      <c r="W24" s="8">
        <f t="shared" si="6"/>
        <v>0.16714285714285712</v>
      </c>
      <c r="X24" s="8">
        <f t="shared" si="6"/>
        <v>0.16733333333333333</v>
      </c>
      <c r="Y24" s="8">
        <f t="shared" si="6"/>
        <v>7.1249999999999994E-2</v>
      </c>
      <c r="Z24" s="8">
        <f>Z19/Z20</f>
        <v>0.14249999999999999</v>
      </c>
    </row>
    <row r="25" spans="1:26" x14ac:dyDescent="0.35">
      <c r="H25" s="8">
        <f>SUMPRODUCT(H22:Z22,H23:Z23,H15:Z15)/SUMPRODUCT(H22:Z22,H15:Z15)</f>
        <v>0.18431996922550864</v>
      </c>
      <c r="I25" s="8"/>
      <c r="J25" s="8"/>
      <c r="K25" s="8"/>
      <c r="L25" s="8"/>
      <c r="M25" s="8"/>
      <c r="N25" s="8"/>
    </row>
    <row r="26" spans="1:26" x14ac:dyDescent="0.35">
      <c r="A26" t="s">
        <v>81</v>
      </c>
      <c r="H26" s="192"/>
      <c r="I26" s="192"/>
      <c r="J26" s="192"/>
      <c r="K26" s="192"/>
      <c r="L26" s="192"/>
      <c r="M26" s="192"/>
      <c r="N26" s="192"/>
    </row>
    <row r="27" spans="1:26" ht="18.5" x14ac:dyDescent="0.45">
      <c r="A27" t="s">
        <v>73</v>
      </c>
      <c r="G27" s="1" t="s">
        <v>9</v>
      </c>
      <c r="H27" s="192"/>
      <c r="I27" s="192"/>
      <c r="J27" s="192"/>
      <c r="K27" s="192"/>
      <c r="L27" s="192"/>
      <c r="M27" s="192"/>
      <c r="N27" s="192"/>
    </row>
    <row r="28" spans="1:26" x14ac:dyDescent="0.35">
      <c r="A28" t="s">
        <v>80</v>
      </c>
      <c r="B28" t="s">
        <v>82</v>
      </c>
      <c r="F28" s="283" t="s">
        <v>29</v>
      </c>
      <c r="G28" t="s">
        <v>11</v>
      </c>
      <c r="H28" s="192" t="s">
        <v>93</v>
      </c>
      <c r="I28" s="192" t="s">
        <v>91</v>
      </c>
      <c r="J28" s="192" t="s">
        <v>374</v>
      </c>
      <c r="K28" s="192" t="s">
        <v>184</v>
      </c>
      <c r="L28" s="192" t="s">
        <v>366</v>
      </c>
      <c r="M28" s="192" t="s">
        <v>1</v>
      </c>
      <c r="N28" s="192" t="s">
        <v>372</v>
      </c>
      <c r="O28" s="192" t="s">
        <v>181</v>
      </c>
      <c r="P28" s="192"/>
      <c r="R28" s="192"/>
    </row>
    <row r="29" spans="1:26" x14ac:dyDescent="0.35">
      <c r="F29" s="284"/>
      <c r="G29" t="s">
        <v>7</v>
      </c>
      <c r="H29" s="3">
        <v>55.5</v>
      </c>
      <c r="I29" s="3">
        <v>27.5</v>
      </c>
      <c r="J29" s="3">
        <v>18.5</v>
      </c>
      <c r="K29" s="3">
        <v>31</v>
      </c>
      <c r="L29" s="3">
        <v>23.5</v>
      </c>
      <c r="M29" s="3">
        <v>100</v>
      </c>
      <c r="N29" s="3">
        <v>45</v>
      </c>
      <c r="O29" s="3">
        <v>30</v>
      </c>
      <c r="P29" s="3"/>
      <c r="Q29" s="3"/>
      <c r="R29" s="3"/>
      <c r="S29" s="3"/>
      <c r="T29" s="3"/>
    </row>
    <row r="30" spans="1:26" x14ac:dyDescent="0.35">
      <c r="A30" t="s">
        <v>70</v>
      </c>
      <c r="F30" s="284"/>
      <c r="G30" t="s">
        <v>30</v>
      </c>
      <c r="H30" s="3">
        <v>0.31</v>
      </c>
      <c r="I30" s="3">
        <v>0.35</v>
      </c>
      <c r="J30" s="3">
        <v>0.67</v>
      </c>
      <c r="K30" s="3">
        <v>0.5</v>
      </c>
      <c r="L30" s="3">
        <v>0.26</v>
      </c>
      <c r="M30" s="3">
        <v>1.01</v>
      </c>
      <c r="N30" s="3">
        <v>0.5</v>
      </c>
      <c r="O30" s="3">
        <v>0.25</v>
      </c>
      <c r="P30" s="3"/>
      <c r="Q30" s="3"/>
      <c r="R30" s="3"/>
      <c r="S30" s="3"/>
      <c r="T30" s="3"/>
    </row>
    <row r="31" spans="1:26" x14ac:dyDescent="0.35">
      <c r="A31" t="s">
        <v>74</v>
      </c>
      <c r="B31" t="s">
        <v>75</v>
      </c>
      <c r="F31" s="284"/>
      <c r="G31" t="s">
        <v>5</v>
      </c>
      <c r="H31" s="6">
        <v>7</v>
      </c>
      <c r="I31" s="6">
        <v>2</v>
      </c>
      <c r="J31" s="6">
        <v>5</v>
      </c>
      <c r="K31" s="6">
        <v>4</v>
      </c>
      <c r="L31" s="6">
        <v>3</v>
      </c>
      <c r="M31" s="6">
        <v>3</v>
      </c>
      <c r="N31" s="6">
        <v>2</v>
      </c>
      <c r="O31" s="6">
        <v>3</v>
      </c>
      <c r="P31" s="6"/>
      <c r="Q31" s="6"/>
      <c r="R31" s="6"/>
      <c r="S31" s="6"/>
      <c r="T31" s="6"/>
    </row>
    <row r="32" spans="1:26" x14ac:dyDescent="0.35">
      <c r="A32" t="s">
        <v>68</v>
      </c>
      <c r="B32" t="s">
        <v>71</v>
      </c>
      <c r="F32" s="284"/>
      <c r="G32" t="s">
        <v>10</v>
      </c>
      <c r="H32" s="6">
        <v>3</v>
      </c>
      <c r="I32" s="6">
        <v>2</v>
      </c>
      <c r="J32" s="6">
        <v>3</v>
      </c>
      <c r="K32" s="6">
        <v>2</v>
      </c>
      <c r="L32" s="6">
        <v>4</v>
      </c>
      <c r="M32" s="6">
        <v>3</v>
      </c>
      <c r="N32" s="6">
        <v>2</v>
      </c>
      <c r="O32" s="6">
        <v>4</v>
      </c>
      <c r="P32" s="6"/>
      <c r="Q32" s="6"/>
      <c r="R32" s="6"/>
      <c r="S32" s="6"/>
      <c r="T32" s="6"/>
    </row>
    <row r="33" spans="1:20" x14ac:dyDescent="0.35">
      <c r="A33" t="s">
        <v>78</v>
      </c>
      <c r="B33" t="s">
        <v>79</v>
      </c>
      <c r="F33" s="284"/>
      <c r="G33" t="s">
        <v>24</v>
      </c>
      <c r="H33" s="3">
        <v>56</v>
      </c>
      <c r="I33" s="3">
        <v>80</v>
      </c>
      <c r="J33" s="3">
        <v>20</v>
      </c>
      <c r="K33" s="3">
        <v>31</v>
      </c>
      <c r="L33" s="3">
        <v>26.5</v>
      </c>
      <c r="M33" s="3">
        <v>113</v>
      </c>
      <c r="N33" s="3">
        <v>45</v>
      </c>
      <c r="O33" s="3">
        <v>30</v>
      </c>
      <c r="P33" s="3"/>
      <c r="Q33" s="3"/>
      <c r="R33" s="3"/>
      <c r="S33" s="3"/>
      <c r="T33" s="3"/>
    </row>
    <row r="34" spans="1:20" x14ac:dyDescent="0.35">
      <c r="F34" s="285"/>
      <c r="G34" t="s">
        <v>23</v>
      </c>
      <c r="H34" s="6">
        <v>0</v>
      </c>
      <c r="I34" s="6">
        <v>0</v>
      </c>
      <c r="J34" s="6">
        <v>0</v>
      </c>
      <c r="K34" s="6">
        <v>0</v>
      </c>
      <c r="L34" s="6">
        <v>0</v>
      </c>
      <c r="M34" s="6">
        <v>0</v>
      </c>
      <c r="N34" s="6">
        <v>0</v>
      </c>
      <c r="O34" s="6">
        <v>0</v>
      </c>
      <c r="P34" s="6"/>
      <c r="Q34" s="6"/>
      <c r="R34" s="6"/>
      <c r="S34" s="6"/>
      <c r="T34" s="6"/>
    </row>
    <row r="35" spans="1:20" x14ac:dyDescent="0.35">
      <c r="H35" s="192"/>
      <c r="I35" s="192"/>
      <c r="J35" s="192"/>
      <c r="K35" s="192"/>
      <c r="L35" s="192"/>
      <c r="M35" s="192"/>
      <c r="N35" s="192"/>
      <c r="O35" s="192"/>
    </row>
    <row r="36" spans="1:20" x14ac:dyDescent="0.35">
      <c r="H36" s="192"/>
      <c r="I36" s="192"/>
      <c r="J36" s="192"/>
      <c r="K36" s="192"/>
      <c r="L36" s="192"/>
      <c r="M36" s="192"/>
      <c r="N36" s="192"/>
      <c r="O36" s="192"/>
    </row>
    <row r="37" spans="1:20" x14ac:dyDescent="0.35">
      <c r="G37" t="s">
        <v>4</v>
      </c>
      <c r="H37" s="6">
        <f>100*H31</f>
        <v>700</v>
      </c>
      <c r="I37" s="6">
        <f t="shared" ref="I37:O37" si="7">100*I31</f>
        <v>200</v>
      </c>
      <c r="J37" s="6">
        <f t="shared" si="7"/>
        <v>500</v>
      </c>
      <c r="K37" s="6">
        <f t="shared" si="7"/>
        <v>400</v>
      </c>
      <c r="L37" s="6">
        <f t="shared" si="7"/>
        <v>300</v>
      </c>
      <c r="M37" s="6">
        <f t="shared" si="7"/>
        <v>300</v>
      </c>
      <c r="N37" s="6">
        <f t="shared" si="7"/>
        <v>200</v>
      </c>
      <c r="O37" s="6">
        <f t="shared" si="7"/>
        <v>300</v>
      </c>
      <c r="P37" s="6"/>
      <c r="Q37" s="6"/>
      <c r="R37" s="6"/>
      <c r="S37" s="6"/>
      <c r="T37" s="6"/>
    </row>
    <row r="38" spans="1:20" x14ac:dyDescent="0.35">
      <c r="G38" t="s">
        <v>31</v>
      </c>
      <c r="H38" s="3">
        <f>$H$6*H31+$H$5+$H$7*H34</f>
        <v>15.95</v>
      </c>
      <c r="I38" s="3">
        <f>$H$6*I31+$H$5+$H$7*I34</f>
        <v>11.7</v>
      </c>
      <c r="J38" s="3">
        <f t="shared" ref="J38:O38" si="8">$H$6*J31+$H$5+$H$7*J34</f>
        <v>14.25</v>
      </c>
      <c r="K38" s="3">
        <f t="shared" si="8"/>
        <v>13.4</v>
      </c>
      <c r="L38" s="3">
        <f t="shared" si="8"/>
        <v>12.55</v>
      </c>
      <c r="M38" s="3">
        <f t="shared" si="8"/>
        <v>12.55</v>
      </c>
      <c r="N38" s="3">
        <f t="shared" si="8"/>
        <v>11.7</v>
      </c>
      <c r="O38" s="3">
        <f t="shared" si="8"/>
        <v>12.55</v>
      </c>
      <c r="P38" s="3"/>
      <c r="Q38" s="3"/>
      <c r="R38" s="3"/>
      <c r="S38" s="3"/>
      <c r="T38" s="3"/>
    </row>
    <row r="39" spans="1:20" x14ac:dyDescent="0.35">
      <c r="G39" t="s">
        <v>6</v>
      </c>
      <c r="H39" s="3">
        <f>H30*H37</f>
        <v>217</v>
      </c>
      <c r="I39" s="3">
        <f t="shared" ref="I39:O39" si="9">I30*I37</f>
        <v>70</v>
      </c>
      <c r="J39" s="3">
        <f t="shared" si="9"/>
        <v>335</v>
      </c>
      <c r="K39" s="3">
        <f t="shared" si="9"/>
        <v>200</v>
      </c>
      <c r="L39" s="3">
        <f t="shared" si="9"/>
        <v>78</v>
      </c>
      <c r="M39" s="3">
        <f t="shared" si="9"/>
        <v>303</v>
      </c>
      <c r="N39" s="3">
        <f t="shared" si="9"/>
        <v>100</v>
      </c>
      <c r="O39" s="3">
        <f t="shared" si="9"/>
        <v>75</v>
      </c>
      <c r="P39" s="3"/>
      <c r="Q39" s="3"/>
      <c r="R39" s="3"/>
      <c r="S39" s="3"/>
      <c r="T39" s="3"/>
    </row>
    <row r="40" spans="1:20" x14ac:dyDescent="0.35">
      <c r="G40" t="s">
        <v>28</v>
      </c>
      <c r="H40" s="3">
        <f>H39-H38</f>
        <v>201.05</v>
      </c>
      <c r="I40" s="3">
        <f t="shared" ref="I40:O40" si="10">I39-I38</f>
        <v>58.3</v>
      </c>
      <c r="J40" s="3">
        <f t="shared" si="10"/>
        <v>320.75</v>
      </c>
      <c r="K40" s="3">
        <f t="shared" si="10"/>
        <v>186.6</v>
      </c>
      <c r="L40" s="3">
        <f t="shared" si="10"/>
        <v>65.45</v>
      </c>
      <c r="M40" s="3">
        <f t="shared" si="10"/>
        <v>290.45</v>
      </c>
      <c r="N40" s="3">
        <f t="shared" si="10"/>
        <v>88.3</v>
      </c>
      <c r="O40" s="3">
        <f t="shared" si="10"/>
        <v>62.45</v>
      </c>
      <c r="P40" s="3"/>
      <c r="Q40" s="3"/>
      <c r="R40" s="3"/>
      <c r="S40" s="3"/>
      <c r="T40" s="3"/>
    </row>
    <row r="41" spans="1:20" x14ac:dyDescent="0.35">
      <c r="G41" t="s">
        <v>25</v>
      </c>
      <c r="H41" s="7">
        <f>H33*H37</f>
        <v>39200</v>
      </c>
      <c r="I41" s="7">
        <f t="shared" ref="I41:O41" si="11">I33*I37</f>
        <v>16000</v>
      </c>
      <c r="J41" s="7">
        <f t="shared" si="11"/>
        <v>10000</v>
      </c>
      <c r="K41" s="7">
        <f t="shared" si="11"/>
        <v>12400</v>
      </c>
      <c r="L41" s="7">
        <f t="shared" si="11"/>
        <v>7950</v>
      </c>
      <c r="M41" s="7">
        <f t="shared" si="11"/>
        <v>33900</v>
      </c>
      <c r="N41" s="7">
        <f t="shared" si="11"/>
        <v>9000</v>
      </c>
      <c r="O41" s="7">
        <f t="shared" si="11"/>
        <v>9000</v>
      </c>
      <c r="P41" s="7"/>
      <c r="Q41" s="7"/>
      <c r="R41" s="7"/>
      <c r="S41" s="7"/>
      <c r="T41" s="7"/>
    </row>
    <row r="42" spans="1:20" x14ac:dyDescent="0.35">
      <c r="G42" t="s">
        <v>83</v>
      </c>
      <c r="H42" s="8">
        <f>H40/H41*50/H32</f>
        <v>8.5480442176870772E-2</v>
      </c>
      <c r="I42" s="8">
        <f t="shared" ref="I42:O42" si="12">I40/I41*50/I32</f>
        <v>9.1093750000000001E-2</v>
      </c>
      <c r="J42" s="8">
        <f t="shared" si="12"/>
        <v>0.5345833333333333</v>
      </c>
      <c r="K42" s="8">
        <f t="shared" si="12"/>
        <v>0.37620967741935479</v>
      </c>
      <c r="L42" s="8">
        <f t="shared" si="12"/>
        <v>0.10290880503144656</v>
      </c>
      <c r="M42" s="8">
        <f t="shared" si="12"/>
        <v>0.14279744346116027</v>
      </c>
      <c r="N42" s="8">
        <f t="shared" si="12"/>
        <v>0.24527777777777776</v>
      </c>
      <c r="O42" s="8">
        <f t="shared" si="12"/>
        <v>8.6736111111111111E-2</v>
      </c>
      <c r="P42" s="8"/>
      <c r="Q42" s="8"/>
      <c r="R42" s="8"/>
      <c r="S42" s="8"/>
      <c r="T42" s="8"/>
    </row>
    <row r="43" spans="1:20" x14ac:dyDescent="0.35">
      <c r="G43" t="s">
        <v>26</v>
      </c>
      <c r="H43" s="3">
        <f>IF(H34=1,H37*(H29-H33),0)</f>
        <v>0</v>
      </c>
      <c r="I43" s="3">
        <f t="shared" ref="I43:O43" si="13">IF(I34=1,I37*(I29-I33),0)</f>
        <v>0</v>
      </c>
      <c r="J43" s="3">
        <f t="shared" si="13"/>
        <v>0</v>
      </c>
      <c r="K43" s="3">
        <f t="shared" si="13"/>
        <v>0</v>
      </c>
      <c r="L43" s="3">
        <f t="shared" si="13"/>
        <v>0</v>
      </c>
      <c r="M43" s="3">
        <f t="shared" si="13"/>
        <v>0</v>
      </c>
      <c r="N43" s="3">
        <f t="shared" si="13"/>
        <v>0</v>
      </c>
      <c r="O43" s="3">
        <f t="shared" si="13"/>
        <v>0</v>
      </c>
      <c r="P43" s="3"/>
      <c r="Q43" s="3"/>
      <c r="R43" s="3"/>
      <c r="S43" s="3"/>
      <c r="T43" s="3"/>
    </row>
    <row r="44" spans="1:20" x14ac:dyDescent="0.35">
      <c r="G44" t="s">
        <v>27</v>
      </c>
      <c r="H44" s="8">
        <f>IF(H34=1,H43/H41*50/H32,0)</f>
        <v>0</v>
      </c>
      <c r="I44" s="8">
        <f t="shared" ref="I44:O44" si="14">IF(I34=1,I43/I41*50/I32,0)</f>
        <v>0</v>
      </c>
      <c r="J44" s="8">
        <f t="shared" si="14"/>
        <v>0</v>
      </c>
      <c r="K44" s="8">
        <f t="shared" si="14"/>
        <v>0</v>
      </c>
      <c r="L44" s="8">
        <f t="shared" si="14"/>
        <v>0</v>
      </c>
      <c r="M44" s="8">
        <f t="shared" si="14"/>
        <v>0</v>
      </c>
      <c r="N44" s="8">
        <f t="shared" si="14"/>
        <v>0</v>
      </c>
      <c r="O44" s="8">
        <f t="shared" si="14"/>
        <v>0</v>
      </c>
      <c r="P44" s="8"/>
      <c r="Q44" s="8"/>
      <c r="R44" s="8"/>
      <c r="S44" s="8"/>
      <c r="T44" s="8"/>
    </row>
    <row r="45" spans="1:20" x14ac:dyDescent="0.35">
      <c r="G45" t="s">
        <v>34</v>
      </c>
      <c r="H45" s="3">
        <f>H40+H43</f>
        <v>201.05</v>
      </c>
      <c r="I45" s="3">
        <f t="shared" ref="I45:O45" si="15">I40+I43</f>
        <v>58.3</v>
      </c>
      <c r="J45" s="3">
        <f t="shared" si="15"/>
        <v>320.75</v>
      </c>
      <c r="K45" s="3">
        <f t="shared" si="15"/>
        <v>186.6</v>
      </c>
      <c r="L45" s="3">
        <f t="shared" si="15"/>
        <v>65.45</v>
      </c>
      <c r="M45" s="3">
        <f t="shared" si="15"/>
        <v>290.45</v>
      </c>
      <c r="N45" s="3">
        <f t="shared" si="15"/>
        <v>88.3</v>
      </c>
      <c r="O45" s="3">
        <f t="shared" si="15"/>
        <v>62.45</v>
      </c>
      <c r="P45" s="3"/>
      <c r="Q45" s="3"/>
      <c r="R45" s="3"/>
      <c r="S45" s="3"/>
      <c r="T45" s="3"/>
    </row>
    <row r="46" spans="1:20" x14ac:dyDescent="0.35">
      <c r="G46" t="s">
        <v>84</v>
      </c>
      <c r="H46" s="8">
        <f>H45/H41*50/H32</f>
        <v>8.5480442176870772E-2</v>
      </c>
      <c r="I46" s="8">
        <f>I45/I41*50/I32</f>
        <v>9.1093750000000001E-2</v>
      </c>
      <c r="J46" s="8">
        <f t="shared" ref="J46:O46" si="16">J45/J41*50/J32</f>
        <v>0.5345833333333333</v>
      </c>
      <c r="K46" s="8">
        <f t="shared" si="16"/>
        <v>0.37620967741935479</v>
      </c>
      <c r="L46" s="8">
        <f t="shared" si="16"/>
        <v>0.10290880503144656</v>
      </c>
      <c r="M46" s="8">
        <f t="shared" si="16"/>
        <v>0.14279744346116027</v>
      </c>
      <c r="N46" s="8">
        <f t="shared" si="16"/>
        <v>0.24527777777777776</v>
      </c>
      <c r="O46" s="8">
        <f t="shared" si="16"/>
        <v>8.6736111111111111E-2</v>
      </c>
      <c r="P46" s="8"/>
      <c r="Q46" s="8"/>
      <c r="R46" s="8"/>
      <c r="S46" s="8"/>
      <c r="T46" s="8"/>
    </row>
    <row r="47" spans="1:20" x14ac:dyDescent="0.35">
      <c r="G47" t="s">
        <v>69</v>
      </c>
      <c r="H47" s="8">
        <f>H38/H39</f>
        <v>7.3502304147465433E-2</v>
      </c>
      <c r="I47" s="8">
        <f>I38/I39</f>
        <v>0.16714285714285712</v>
      </c>
      <c r="J47" s="8">
        <f t="shared" ref="J47:O47" si="17">J38/J39</f>
        <v>4.2537313432835823E-2</v>
      </c>
      <c r="K47" s="8">
        <f t="shared" si="17"/>
        <v>6.7000000000000004E-2</v>
      </c>
      <c r="L47" s="8">
        <f t="shared" si="17"/>
        <v>0.16089743589743591</v>
      </c>
      <c r="M47" s="8">
        <f t="shared" si="17"/>
        <v>4.1419141914191424E-2</v>
      </c>
      <c r="N47" s="8">
        <f t="shared" si="17"/>
        <v>0.11699999999999999</v>
      </c>
      <c r="O47" s="8">
        <f t="shared" si="17"/>
        <v>0.16733333333333333</v>
      </c>
      <c r="P47" s="8"/>
      <c r="Q47" s="8"/>
      <c r="R47" s="8"/>
      <c r="S47" s="8"/>
      <c r="T47" s="8"/>
    </row>
    <row r="48" spans="1:20" x14ac:dyDescent="0.35">
      <c r="H48" s="8">
        <f>SUMPRODUCT(H41:T41,H46:T46,H32:T32)/SUMPRODUCT(H41:T41,H32:T32)</f>
        <v>0.16245853534064814</v>
      </c>
      <c r="I48" s="192"/>
      <c r="J48" s="192"/>
      <c r="K48" s="192"/>
      <c r="L48" s="192"/>
      <c r="M48" s="192"/>
      <c r="N48" s="192"/>
    </row>
    <row r="49" spans="7:115" x14ac:dyDescent="0.35">
      <c r="H49" s="192"/>
      <c r="I49" s="192"/>
      <c r="J49" s="192"/>
      <c r="K49" s="192"/>
      <c r="L49" s="192"/>
      <c r="M49" s="192"/>
      <c r="N49" s="192"/>
    </row>
    <row r="50" spans="7:115" x14ac:dyDescent="0.35">
      <c r="H50" s="192"/>
      <c r="I50" s="192"/>
      <c r="J50" s="192"/>
      <c r="K50" s="192"/>
      <c r="L50" s="192"/>
      <c r="M50" s="192"/>
      <c r="N50" s="192"/>
    </row>
    <row r="51" spans="7:115" x14ac:dyDescent="0.35">
      <c r="H51" s="192"/>
      <c r="I51" s="192"/>
      <c r="J51" s="192"/>
      <c r="K51" s="192"/>
      <c r="L51" s="192"/>
      <c r="M51" s="192"/>
      <c r="N51" s="192"/>
    </row>
    <row r="52" spans="7:115" x14ac:dyDescent="0.35">
      <c r="H52" s="192"/>
      <c r="I52" s="192"/>
      <c r="J52" s="192"/>
      <c r="K52" s="192"/>
      <c r="L52" s="192"/>
      <c r="M52" s="192"/>
      <c r="N52" s="192"/>
    </row>
    <row r="53" spans="7:115" ht="18.5" x14ac:dyDescent="0.45">
      <c r="G53" s="1" t="s">
        <v>326</v>
      </c>
    </row>
    <row r="54" spans="7:115" x14ac:dyDescent="0.35">
      <c r="G54" t="s">
        <v>11</v>
      </c>
      <c r="H54" s="192" t="s">
        <v>355</v>
      </c>
      <c r="I54" s="192" t="s">
        <v>374</v>
      </c>
      <c r="J54" s="192" t="s">
        <v>374</v>
      </c>
      <c r="K54" s="192" t="s">
        <v>181</v>
      </c>
      <c r="L54" s="192" t="s">
        <v>184</v>
      </c>
      <c r="M54" s="192" t="s">
        <v>372</v>
      </c>
      <c r="N54" s="192" t="s">
        <v>366</v>
      </c>
      <c r="O54" s="192" t="s">
        <v>374</v>
      </c>
      <c r="P54" s="192" t="s">
        <v>93</v>
      </c>
      <c r="Q54" s="192" t="s">
        <v>1</v>
      </c>
      <c r="R54" s="192" t="s">
        <v>370</v>
      </c>
      <c r="S54" s="192" t="s">
        <v>184</v>
      </c>
      <c r="T54" s="192" t="s">
        <v>184</v>
      </c>
      <c r="U54" s="192" t="s">
        <v>93</v>
      </c>
      <c r="V54" s="192" t="s">
        <v>374</v>
      </c>
      <c r="W54" s="192" t="s">
        <v>355</v>
      </c>
      <c r="X54" s="192" t="s">
        <v>374</v>
      </c>
      <c r="Y54" s="192" t="s">
        <v>184</v>
      </c>
      <c r="Z54" s="192" t="s">
        <v>374</v>
      </c>
      <c r="AA54" s="192" t="s">
        <v>184</v>
      </c>
      <c r="AB54" s="192" t="s">
        <v>374</v>
      </c>
      <c r="AC54" s="192" t="s">
        <v>366</v>
      </c>
      <c r="AD54" s="192" t="s">
        <v>366</v>
      </c>
      <c r="AE54" s="192" t="s">
        <v>184</v>
      </c>
      <c r="AF54" s="192" t="s">
        <v>93</v>
      </c>
      <c r="AG54" s="192" t="s">
        <v>355</v>
      </c>
      <c r="AH54" s="192" t="s">
        <v>184</v>
      </c>
      <c r="AI54" s="192" t="s">
        <v>343</v>
      </c>
      <c r="AJ54" s="192" t="s">
        <v>87</v>
      </c>
      <c r="AK54" s="192" t="s">
        <v>374</v>
      </c>
      <c r="AL54" s="192" t="s">
        <v>366</v>
      </c>
      <c r="AM54" s="192" t="s">
        <v>181</v>
      </c>
      <c r="AN54" s="192" t="s">
        <v>366</v>
      </c>
      <c r="AO54" s="192" t="s">
        <v>91</v>
      </c>
      <c r="AP54" s="192" t="s">
        <v>355</v>
      </c>
      <c r="AQ54" s="192" t="s">
        <v>374</v>
      </c>
      <c r="AR54" s="192" t="s">
        <v>93</v>
      </c>
      <c r="AS54" s="192" t="s">
        <v>1</v>
      </c>
      <c r="AT54" s="192" t="s">
        <v>372</v>
      </c>
      <c r="AU54" s="192" t="s">
        <v>93</v>
      </c>
      <c r="AV54" s="192" t="s">
        <v>1</v>
      </c>
      <c r="AW54" s="192" t="s">
        <v>1</v>
      </c>
      <c r="AX54" s="192" t="s">
        <v>374</v>
      </c>
      <c r="AY54" s="192" t="s">
        <v>366</v>
      </c>
      <c r="AZ54" s="192" t="s">
        <v>1</v>
      </c>
      <c r="BA54" s="192" t="s">
        <v>366</v>
      </c>
      <c r="BB54" s="192" t="s">
        <v>184</v>
      </c>
      <c r="BC54" s="192" t="s">
        <v>93</v>
      </c>
      <c r="BD54" s="192" t="s">
        <v>372</v>
      </c>
      <c r="BE54" s="192" t="s">
        <v>370</v>
      </c>
      <c r="BF54" s="192" t="s">
        <v>366</v>
      </c>
      <c r="BG54" s="192" t="s">
        <v>374</v>
      </c>
      <c r="BH54" s="192" t="s">
        <v>184</v>
      </c>
      <c r="BI54" s="192" t="s">
        <v>93</v>
      </c>
      <c r="BJ54" s="192" t="s">
        <v>370</v>
      </c>
      <c r="BK54" s="192" t="s">
        <v>1</v>
      </c>
      <c r="BL54" s="192" t="s">
        <v>370</v>
      </c>
      <c r="BM54" s="192" t="s">
        <v>184</v>
      </c>
      <c r="BN54" s="192" t="s">
        <v>87</v>
      </c>
      <c r="BO54" s="192" t="s">
        <v>366</v>
      </c>
      <c r="BP54" s="192" t="s">
        <v>87</v>
      </c>
      <c r="BQ54" s="192" t="s">
        <v>1</v>
      </c>
      <c r="BR54" s="192" t="s">
        <v>93</v>
      </c>
      <c r="BS54" s="192" t="s">
        <v>87</v>
      </c>
      <c r="BT54" s="192" t="s">
        <v>1</v>
      </c>
      <c r="BU54" s="192" t="s">
        <v>93</v>
      </c>
      <c r="BV54" s="192" t="s">
        <v>87</v>
      </c>
      <c r="BW54" s="192" t="s">
        <v>87</v>
      </c>
      <c r="BX54" s="192" t="s">
        <v>93</v>
      </c>
      <c r="BY54" s="192" t="s">
        <v>1</v>
      </c>
      <c r="BZ54" s="192" t="s">
        <v>87</v>
      </c>
      <c r="CA54" s="192" t="s">
        <v>93</v>
      </c>
      <c r="CB54" s="192" t="s">
        <v>87</v>
      </c>
      <c r="CC54" s="192" t="s">
        <v>87</v>
      </c>
      <c r="CD54" s="192" t="s">
        <v>1</v>
      </c>
      <c r="CE54" s="192" t="s">
        <v>1</v>
      </c>
      <c r="CF54" s="192" t="s">
        <v>1</v>
      </c>
      <c r="CG54" s="192" t="s">
        <v>1</v>
      </c>
      <c r="CH54" s="192" t="s">
        <v>91</v>
      </c>
      <c r="CI54" s="192" t="s">
        <v>1</v>
      </c>
      <c r="CJ54" s="192" t="s">
        <v>0</v>
      </c>
      <c r="CK54" s="192" t="s">
        <v>91</v>
      </c>
      <c r="CL54" s="192" t="s">
        <v>1</v>
      </c>
      <c r="CM54" s="192" t="s">
        <v>1</v>
      </c>
      <c r="CN54" s="192" t="s">
        <v>91</v>
      </c>
      <c r="CO54" s="192" t="s">
        <v>93</v>
      </c>
      <c r="CP54" s="192" t="s">
        <v>91</v>
      </c>
      <c r="CQ54" s="192" t="s">
        <v>87</v>
      </c>
      <c r="CR54" s="192" t="s">
        <v>1</v>
      </c>
      <c r="CS54" s="192" t="s">
        <v>0</v>
      </c>
      <c r="CT54" s="192" t="s">
        <v>0</v>
      </c>
      <c r="CU54" s="192" t="s">
        <v>0</v>
      </c>
      <c r="CV54" s="192" t="s">
        <v>1</v>
      </c>
      <c r="CW54" s="192" t="s">
        <v>1</v>
      </c>
      <c r="CX54" s="192" t="s">
        <v>1</v>
      </c>
      <c r="CY54" s="192" t="s">
        <v>0</v>
      </c>
      <c r="CZ54" s="192" t="s">
        <v>1</v>
      </c>
      <c r="DA54" s="192" t="s">
        <v>1</v>
      </c>
      <c r="DB54" s="192" t="s">
        <v>1</v>
      </c>
      <c r="DC54" s="192" t="s">
        <v>1</v>
      </c>
      <c r="DD54" s="192" t="s">
        <v>87</v>
      </c>
      <c r="DE54" s="192" t="s">
        <v>1</v>
      </c>
      <c r="DF54" s="192" t="s">
        <v>117</v>
      </c>
      <c r="DG54" s="192" t="s">
        <v>33</v>
      </c>
      <c r="DH54" s="192" t="s">
        <v>1</v>
      </c>
      <c r="DI54" s="192" t="s">
        <v>0</v>
      </c>
      <c r="DJ54" s="192" t="s">
        <v>1</v>
      </c>
      <c r="DK54" s="192" t="s">
        <v>1</v>
      </c>
    </row>
    <row r="55" spans="7:115" x14ac:dyDescent="0.35">
      <c r="G55" t="s">
        <v>244</v>
      </c>
      <c r="H55" s="3">
        <v>1.78</v>
      </c>
      <c r="I55" s="3">
        <v>0.02</v>
      </c>
      <c r="J55" s="3">
        <v>1.73</v>
      </c>
      <c r="K55" s="3">
        <v>0.02</v>
      </c>
      <c r="L55" s="3">
        <v>0.21</v>
      </c>
      <c r="M55" s="3">
        <v>9.26</v>
      </c>
      <c r="N55" s="3">
        <v>0.21</v>
      </c>
      <c r="O55" s="3">
        <v>0.13</v>
      </c>
      <c r="P55" s="3">
        <v>1.94</v>
      </c>
      <c r="Q55" s="3">
        <v>4</v>
      </c>
      <c r="R55" s="3">
        <v>0.33</v>
      </c>
      <c r="S55" s="3">
        <v>1.1599999999999999</v>
      </c>
      <c r="T55" s="3">
        <v>0.77</v>
      </c>
      <c r="U55" s="3">
        <v>1.01</v>
      </c>
      <c r="V55" s="3">
        <v>0.08</v>
      </c>
      <c r="W55" s="3">
        <v>5.95</v>
      </c>
      <c r="X55" s="3">
        <v>2.62</v>
      </c>
      <c r="Y55" s="3">
        <v>1.1299999999999999</v>
      </c>
      <c r="Z55" s="3">
        <v>0.08</v>
      </c>
      <c r="AA55" s="3">
        <v>0.95</v>
      </c>
      <c r="AB55" s="3">
        <v>0.71</v>
      </c>
      <c r="AC55" s="3">
        <v>4.7</v>
      </c>
      <c r="AD55" s="3">
        <v>1.06</v>
      </c>
      <c r="AE55" s="3">
        <v>0.04</v>
      </c>
      <c r="AF55" s="3">
        <v>0.87</v>
      </c>
      <c r="AG55" s="3">
        <v>6.7</v>
      </c>
      <c r="AH55" s="3">
        <v>0.09</v>
      </c>
      <c r="AI55" s="3">
        <v>1.18</v>
      </c>
      <c r="AJ55" s="3">
        <v>29.5</v>
      </c>
      <c r="AK55" s="3">
        <v>1.48</v>
      </c>
      <c r="AL55" s="3">
        <v>1.85</v>
      </c>
      <c r="AM55" s="3">
        <v>0.9</v>
      </c>
      <c r="AN55" s="3">
        <v>0.13</v>
      </c>
      <c r="AO55" s="3">
        <v>1.1499999999999999</v>
      </c>
      <c r="AP55" s="3">
        <v>4.0199999999999996</v>
      </c>
      <c r="AQ55" s="3">
        <v>0.78</v>
      </c>
      <c r="AR55" s="3">
        <v>2.06</v>
      </c>
      <c r="AS55" s="3">
        <v>2.5</v>
      </c>
      <c r="AT55" s="3">
        <v>1.3</v>
      </c>
      <c r="AU55" s="3">
        <v>1.4</v>
      </c>
      <c r="AV55" s="3">
        <v>6.6</v>
      </c>
      <c r="AW55" s="3">
        <v>1.4</v>
      </c>
      <c r="AX55" s="3">
        <v>0.34</v>
      </c>
      <c r="AY55" s="3">
        <v>0.13</v>
      </c>
      <c r="AZ55" s="3">
        <v>1.5</v>
      </c>
      <c r="BA55" s="3">
        <v>3.48</v>
      </c>
      <c r="BB55" s="3">
        <v>1.26</v>
      </c>
      <c r="BC55" s="3">
        <v>1.82</v>
      </c>
      <c r="BD55" s="3">
        <v>0.7</v>
      </c>
      <c r="BE55" s="3">
        <v>2.52</v>
      </c>
      <c r="BF55" s="3">
        <v>0.55000000000000004</v>
      </c>
      <c r="BG55" s="3">
        <v>1.62</v>
      </c>
      <c r="BH55" s="3">
        <v>1.44</v>
      </c>
      <c r="BI55" s="3">
        <v>1.4</v>
      </c>
      <c r="BJ55" s="3">
        <v>1.1299999999999999</v>
      </c>
      <c r="BK55" s="3">
        <v>2.34</v>
      </c>
      <c r="BL55" s="3">
        <v>0.38</v>
      </c>
      <c r="BM55" s="3">
        <v>1.38</v>
      </c>
      <c r="BN55" s="3">
        <v>5.95</v>
      </c>
      <c r="BO55" s="3">
        <v>0.97</v>
      </c>
      <c r="BP55" s="3">
        <v>10.42</v>
      </c>
      <c r="BQ55" s="3">
        <v>2.15</v>
      </c>
      <c r="BR55" s="3">
        <v>2.35</v>
      </c>
      <c r="BS55" s="3">
        <v>2</v>
      </c>
      <c r="BT55" s="3">
        <v>0.33</v>
      </c>
      <c r="BU55" s="3">
        <v>0.96</v>
      </c>
      <c r="BV55" s="3">
        <v>18.7</v>
      </c>
      <c r="BW55" s="3">
        <v>5.7</v>
      </c>
      <c r="BX55" s="3">
        <v>1.95</v>
      </c>
      <c r="BY55" s="3">
        <v>5.35</v>
      </c>
      <c r="BZ55" s="3">
        <v>0.35</v>
      </c>
      <c r="CA55" s="3">
        <v>0.55000000000000004</v>
      </c>
      <c r="CB55" s="3">
        <v>2</v>
      </c>
      <c r="CC55" s="3">
        <v>24.45</v>
      </c>
      <c r="CD55" s="3">
        <v>0.3</v>
      </c>
      <c r="CE55" s="3">
        <v>0.06</v>
      </c>
      <c r="CF55" s="3">
        <v>0.38</v>
      </c>
      <c r="CG55" s="3">
        <v>4.55</v>
      </c>
      <c r="CH55" s="3">
        <v>2.4700000000000002</v>
      </c>
      <c r="CI55" s="3">
        <v>0.7</v>
      </c>
      <c r="CJ55" s="3">
        <v>6.57</v>
      </c>
      <c r="CK55" s="3">
        <v>2.4</v>
      </c>
      <c r="CL55" s="3">
        <v>0.82</v>
      </c>
      <c r="CM55" s="3">
        <v>1.92</v>
      </c>
      <c r="CN55" s="3">
        <v>1.36</v>
      </c>
      <c r="CO55" s="3">
        <v>0.4</v>
      </c>
      <c r="CP55" s="3">
        <v>0.95</v>
      </c>
      <c r="CQ55" s="3">
        <v>80</v>
      </c>
      <c r="CR55" s="3">
        <v>11.8</v>
      </c>
      <c r="CS55" s="3">
        <v>11</v>
      </c>
      <c r="CT55" s="3">
        <v>7.21</v>
      </c>
      <c r="CU55" s="3">
        <v>6.92</v>
      </c>
      <c r="CV55" s="3">
        <v>3.75</v>
      </c>
      <c r="CW55" s="3">
        <v>3.75</v>
      </c>
      <c r="CX55" s="3">
        <v>17.05</v>
      </c>
      <c r="CY55" s="3">
        <v>4.47</v>
      </c>
      <c r="CZ55" s="3">
        <v>3.15</v>
      </c>
      <c r="DA55" s="3">
        <v>3.15</v>
      </c>
      <c r="DB55" s="3">
        <v>1.58</v>
      </c>
      <c r="DC55" s="3">
        <v>4.55</v>
      </c>
      <c r="DD55" s="3">
        <v>0.83</v>
      </c>
      <c r="DE55" s="3">
        <v>0.25</v>
      </c>
      <c r="DF55" s="3">
        <v>1.1299999999999999</v>
      </c>
      <c r="DG55" s="3">
        <v>1.1299999999999999</v>
      </c>
      <c r="DH55" s="3">
        <v>1.31</v>
      </c>
      <c r="DI55" s="3">
        <v>2.73</v>
      </c>
      <c r="DJ55" s="3">
        <v>15.09</v>
      </c>
      <c r="DK55" s="3">
        <v>12.55</v>
      </c>
    </row>
    <row r="56" spans="7:115" x14ac:dyDescent="0.35">
      <c r="G56" t="s">
        <v>245</v>
      </c>
      <c r="H56" s="3">
        <v>1.99</v>
      </c>
      <c r="I56" s="3">
        <v>0.5</v>
      </c>
      <c r="J56" s="3">
        <v>1.81</v>
      </c>
      <c r="K56" s="3">
        <v>0.35</v>
      </c>
      <c r="L56" s="3">
        <v>1.0900000000000001</v>
      </c>
      <c r="M56" s="3">
        <v>9.6</v>
      </c>
      <c r="N56" s="3">
        <v>0.59</v>
      </c>
      <c r="O56" s="3">
        <v>0.51</v>
      </c>
      <c r="P56" s="3">
        <v>2.23</v>
      </c>
      <c r="Q56" s="3">
        <v>4.5999999999999996</v>
      </c>
      <c r="R56" s="3">
        <v>1.32</v>
      </c>
      <c r="S56" s="3">
        <v>1.29</v>
      </c>
      <c r="T56" s="3">
        <v>1.22</v>
      </c>
      <c r="U56" s="3">
        <v>1.64</v>
      </c>
      <c r="V56" s="3">
        <v>0.31</v>
      </c>
      <c r="W56" s="3">
        <v>7.25</v>
      </c>
      <c r="X56" s="3">
        <v>2.75</v>
      </c>
      <c r="Y56" s="3">
        <v>1.55</v>
      </c>
      <c r="Z56" s="3">
        <v>0.54</v>
      </c>
      <c r="AA56" s="3">
        <v>1.3</v>
      </c>
      <c r="AB56" s="3">
        <v>0.9</v>
      </c>
      <c r="AC56" s="3">
        <v>4.9000000000000004</v>
      </c>
      <c r="AD56" s="3">
        <v>1.21</v>
      </c>
      <c r="AE56" s="3">
        <v>0.6</v>
      </c>
      <c r="AF56" s="3">
        <v>1.1000000000000001</v>
      </c>
      <c r="AG56" s="3">
        <v>7</v>
      </c>
      <c r="AH56" s="3">
        <v>0.47</v>
      </c>
      <c r="AI56" s="3">
        <v>2.0499999999999998</v>
      </c>
      <c r="AJ56" s="3">
        <v>32.200000000000003</v>
      </c>
      <c r="AK56" s="3">
        <v>1.56</v>
      </c>
      <c r="AL56" s="3">
        <v>1.9</v>
      </c>
      <c r="AM56" s="3">
        <v>1.35</v>
      </c>
      <c r="AN56" s="3">
        <v>0.38</v>
      </c>
      <c r="AO56" s="3">
        <v>1.21</v>
      </c>
      <c r="AP56" s="3">
        <v>4.0999999999999996</v>
      </c>
      <c r="AQ56" s="3">
        <v>0.96</v>
      </c>
      <c r="AR56" s="3">
        <v>2.42</v>
      </c>
      <c r="AS56" s="3">
        <v>3.77</v>
      </c>
      <c r="AT56" s="3">
        <v>1.8</v>
      </c>
      <c r="AU56" s="3">
        <v>1.77</v>
      </c>
      <c r="AV56" s="3">
        <v>6.7</v>
      </c>
      <c r="AW56" s="3">
        <v>2.1</v>
      </c>
      <c r="AX56" s="3">
        <v>1</v>
      </c>
      <c r="AY56" s="3">
        <v>0.38</v>
      </c>
      <c r="AZ56" s="3">
        <v>2</v>
      </c>
      <c r="BA56" s="3">
        <v>3.6</v>
      </c>
      <c r="BB56" s="3">
        <v>1.57</v>
      </c>
      <c r="BC56" s="3">
        <v>1.88</v>
      </c>
      <c r="BD56" s="3">
        <v>1.2</v>
      </c>
      <c r="BE56" s="3">
        <v>2.95</v>
      </c>
      <c r="BF56" s="3">
        <v>0.82</v>
      </c>
      <c r="BG56" s="3">
        <v>1.9</v>
      </c>
      <c r="BH56" s="3">
        <v>1.7</v>
      </c>
      <c r="BI56" s="3">
        <v>1.78</v>
      </c>
      <c r="BJ56" s="3">
        <v>1.56</v>
      </c>
      <c r="BK56" s="3">
        <v>2.76</v>
      </c>
      <c r="BL56" s="3">
        <v>0.88</v>
      </c>
      <c r="BM56" s="3">
        <v>1.58</v>
      </c>
      <c r="BN56" s="3">
        <v>6.85</v>
      </c>
      <c r="BO56" s="3">
        <v>1.28</v>
      </c>
      <c r="BP56" s="3">
        <v>11.35</v>
      </c>
      <c r="BQ56" s="3">
        <v>2.36</v>
      </c>
      <c r="BR56" s="3">
        <v>2.5</v>
      </c>
      <c r="BS56" s="3">
        <v>3</v>
      </c>
      <c r="BT56" s="3">
        <v>1.1000000000000001</v>
      </c>
      <c r="BU56" s="3">
        <v>1.07</v>
      </c>
      <c r="BV56" s="3">
        <v>19</v>
      </c>
      <c r="BW56" s="3">
        <v>6.9</v>
      </c>
      <c r="BX56" s="3">
        <v>2.15</v>
      </c>
      <c r="BY56" s="3">
        <v>5.55</v>
      </c>
      <c r="BZ56" s="3">
        <v>6.45</v>
      </c>
      <c r="CA56" s="3">
        <v>0.93</v>
      </c>
      <c r="CB56" s="3">
        <v>3.6</v>
      </c>
      <c r="CC56" s="3">
        <v>27.2</v>
      </c>
      <c r="CD56" s="3">
        <v>0.72</v>
      </c>
      <c r="CE56" s="3">
        <v>0.37</v>
      </c>
      <c r="CF56" s="3">
        <v>0.83</v>
      </c>
      <c r="CG56" s="3">
        <v>5.85</v>
      </c>
      <c r="CH56" s="3">
        <v>3.05</v>
      </c>
      <c r="CI56" s="3">
        <v>1.23</v>
      </c>
      <c r="CJ56" s="3">
        <v>6.85</v>
      </c>
      <c r="CK56" s="3">
        <v>3</v>
      </c>
      <c r="CL56" s="3">
        <v>1.03</v>
      </c>
      <c r="CM56" s="3">
        <v>2.66</v>
      </c>
      <c r="CN56" s="3">
        <v>1.76</v>
      </c>
      <c r="CO56" s="3">
        <v>0.84</v>
      </c>
      <c r="CP56" s="3">
        <v>1.2</v>
      </c>
      <c r="CQ56" s="3">
        <v>83</v>
      </c>
      <c r="CR56" s="3">
        <v>12.95</v>
      </c>
      <c r="CS56" s="3">
        <v>12</v>
      </c>
      <c r="CT56" s="3">
        <v>9</v>
      </c>
      <c r="CU56" s="3">
        <v>10.9</v>
      </c>
      <c r="CV56" s="3">
        <v>4.3499999999999996</v>
      </c>
      <c r="CW56" s="3">
        <v>5.6</v>
      </c>
      <c r="CX56" s="3">
        <v>17.3</v>
      </c>
      <c r="CY56" s="3">
        <v>7</v>
      </c>
      <c r="CZ56" s="3">
        <v>3.55</v>
      </c>
      <c r="DA56" s="3">
        <v>3.55</v>
      </c>
      <c r="DB56" s="3">
        <v>2.6</v>
      </c>
      <c r="DC56" s="3">
        <v>4.8499999999999996</v>
      </c>
      <c r="DD56" s="3">
        <v>1.86</v>
      </c>
      <c r="DE56" s="3">
        <v>0.62</v>
      </c>
      <c r="DF56" s="3">
        <v>0</v>
      </c>
      <c r="DG56" s="3">
        <v>1.95</v>
      </c>
      <c r="DH56" s="3">
        <v>1.81</v>
      </c>
      <c r="DI56" s="3">
        <v>3.03</v>
      </c>
      <c r="DJ56" s="3">
        <v>16.2</v>
      </c>
      <c r="DK56" s="3">
        <v>13</v>
      </c>
    </row>
    <row r="57" spans="7:115" x14ac:dyDescent="0.35">
      <c r="G57" t="s">
        <v>246</v>
      </c>
      <c r="H57" s="192">
        <v>4</v>
      </c>
      <c r="I57" s="192">
        <v>5</v>
      </c>
      <c r="J57" s="192">
        <v>5</v>
      </c>
      <c r="K57" s="192">
        <v>2</v>
      </c>
      <c r="L57" s="192">
        <v>10</v>
      </c>
      <c r="M57" s="192">
        <v>2</v>
      </c>
      <c r="N57" s="192">
        <v>3</v>
      </c>
      <c r="O57" s="192">
        <v>5</v>
      </c>
      <c r="P57" s="192">
        <v>7</v>
      </c>
      <c r="Q57" s="192">
        <v>3</v>
      </c>
      <c r="R57" s="192">
        <v>4</v>
      </c>
      <c r="S57" s="192">
        <v>4</v>
      </c>
      <c r="T57" s="192">
        <v>6</v>
      </c>
      <c r="U57" s="192">
        <v>7</v>
      </c>
      <c r="V57" s="192">
        <v>5</v>
      </c>
      <c r="W57" s="192">
        <v>4</v>
      </c>
      <c r="X57" s="192">
        <v>5</v>
      </c>
      <c r="Y57" s="192">
        <v>4</v>
      </c>
      <c r="Z57" s="192">
        <v>5</v>
      </c>
      <c r="AA57" s="192">
        <v>6</v>
      </c>
      <c r="AB57" s="192">
        <v>5</v>
      </c>
      <c r="AC57" s="192">
        <v>7</v>
      </c>
      <c r="AD57" s="192">
        <v>3</v>
      </c>
      <c r="AE57" s="192">
        <v>10</v>
      </c>
      <c r="AF57" s="192">
        <v>7</v>
      </c>
      <c r="AG57" s="192">
        <v>4</v>
      </c>
      <c r="AH57" s="192">
        <v>10</v>
      </c>
      <c r="AI57" s="192">
        <v>1</v>
      </c>
      <c r="AJ57" s="192">
        <v>1</v>
      </c>
      <c r="AK57" s="192">
        <v>5</v>
      </c>
      <c r="AL57" s="192">
        <v>3</v>
      </c>
      <c r="AM57" s="192">
        <v>2</v>
      </c>
      <c r="AN57" s="192">
        <v>3</v>
      </c>
      <c r="AO57" s="192">
        <v>2</v>
      </c>
      <c r="AP57" s="192">
        <v>4</v>
      </c>
      <c r="AQ57" s="192">
        <v>5</v>
      </c>
      <c r="AR57" s="192">
        <v>2</v>
      </c>
      <c r="AS57" s="192">
        <v>3</v>
      </c>
      <c r="AT57" s="192">
        <v>2</v>
      </c>
      <c r="AU57" s="192">
        <v>2</v>
      </c>
      <c r="AV57" s="192">
        <v>3</v>
      </c>
      <c r="AW57" s="192">
        <v>2</v>
      </c>
      <c r="AX57" s="192">
        <v>5</v>
      </c>
      <c r="AY57" s="192">
        <v>3</v>
      </c>
      <c r="AZ57" s="192">
        <v>2</v>
      </c>
      <c r="BA57" s="192">
        <v>7</v>
      </c>
      <c r="BB57" s="192">
        <v>10</v>
      </c>
      <c r="BC57" s="192">
        <v>4</v>
      </c>
      <c r="BD57" s="192">
        <v>2</v>
      </c>
      <c r="BE57" s="192">
        <v>2</v>
      </c>
      <c r="BF57" s="192">
        <v>10</v>
      </c>
      <c r="BG57" s="192">
        <v>5</v>
      </c>
      <c r="BH57" s="192">
        <v>10</v>
      </c>
      <c r="BI57" s="192">
        <v>4</v>
      </c>
      <c r="BJ57" s="192">
        <v>2</v>
      </c>
      <c r="BK57" s="192">
        <v>3</v>
      </c>
      <c r="BL57" s="192">
        <v>2</v>
      </c>
      <c r="BM57" s="192">
        <v>10</v>
      </c>
      <c r="BN57" s="192">
        <v>1</v>
      </c>
      <c r="BO57" s="192">
        <v>10</v>
      </c>
      <c r="BP57" s="192">
        <v>1</v>
      </c>
      <c r="BQ57" s="192">
        <v>3</v>
      </c>
      <c r="BR57" s="192">
        <v>5</v>
      </c>
      <c r="BS57" s="192">
        <v>1</v>
      </c>
      <c r="BT57" s="192">
        <v>3</v>
      </c>
      <c r="BU57" s="192">
        <v>5</v>
      </c>
      <c r="BV57" s="192">
        <v>1</v>
      </c>
      <c r="BW57" s="192">
        <v>1</v>
      </c>
      <c r="BX57" s="192">
        <v>5</v>
      </c>
      <c r="BY57" s="192">
        <v>3</v>
      </c>
      <c r="BZ57" s="192">
        <v>1</v>
      </c>
      <c r="CA57" s="192">
        <v>4</v>
      </c>
      <c r="CB57" s="192">
        <v>1</v>
      </c>
      <c r="CC57" s="192">
        <v>1</v>
      </c>
      <c r="CD57" s="192">
        <v>10</v>
      </c>
      <c r="CE57" s="192">
        <v>10</v>
      </c>
      <c r="CF57" s="192">
        <v>10</v>
      </c>
      <c r="CG57" s="192">
        <v>3</v>
      </c>
      <c r="CH57" s="192">
        <v>10</v>
      </c>
      <c r="CI57" s="192">
        <v>10</v>
      </c>
      <c r="CJ57" s="192">
        <v>3</v>
      </c>
      <c r="CK57" s="192">
        <v>10</v>
      </c>
      <c r="CL57" s="192">
        <v>10</v>
      </c>
      <c r="CM57" s="192">
        <v>3</v>
      </c>
      <c r="CN57" s="192">
        <v>10</v>
      </c>
      <c r="CO57" s="192">
        <v>5</v>
      </c>
      <c r="CP57" s="192">
        <v>10</v>
      </c>
      <c r="CQ57" s="192">
        <v>1</v>
      </c>
      <c r="CR57" s="192">
        <v>5</v>
      </c>
      <c r="CS57" s="192">
        <v>3</v>
      </c>
      <c r="CT57" s="192">
        <v>1</v>
      </c>
      <c r="CU57" s="192">
        <v>1</v>
      </c>
      <c r="CV57" s="192">
        <v>10</v>
      </c>
      <c r="CW57" s="192">
        <v>10</v>
      </c>
      <c r="CX57" s="192">
        <v>8</v>
      </c>
      <c r="CY57" s="192">
        <v>1</v>
      </c>
      <c r="CZ57" s="192">
        <v>10</v>
      </c>
      <c r="DA57" s="192">
        <v>10</v>
      </c>
      <c r="DB57" s="192">
        <v>5</v>
      </c>
      <c r="DC57" s="192">
        <v>5</v>
      </c>
      <c r="DD57" s="192">
        <v>1</v>
      </c>
      <c r="DE57" s="192">
        <v>10</v>
      </c>
      <c r="DF57" s="192">
        <v>4</v>
      </c>
      <c r="DG57" s="192">
        <v>4</v>
      </c>
      <c r="DH57" s="192">
        <v>10</v>
      </c>
      <c r="DI57" s="192">
        <v>1</v>
      </c>
      <c r="DJ57" s="192">
        <v>8</v>
      </c>
      <c r="DK57" s="192">
        <v>5</v>
      </c>
    </row>
    <row r="58" spans="7:115" x14ac:dyDescent="0.35">
      <c r="G58" t="s">
        <v>273</v>
      </c>
      <c r="H58" s="3">
        <v>122</v>
      </c>
      <c r="I58" s="3">
        <v>15.5</v>
      </c>
      <c r="J58" s="3">
        <v>19</v>
      </c>
      <c r="K58" s="3">
        <v>24</v>
      </c>
      <c r="L58" s="3">
        <v>31</v>
      </c>
      <c r="M58" s="3">
        <v>45</v>
      </c>
      <c r="N58" s="3">
        <v>23.5</v>
      </c>
      <c r="O58" s="3">
        <v>18</v>
      </c>
      <c r="P58" s="3">
        <v>56</v>
      </c>
      <c r="Q58" s="3">
        <v>115</v>
      </c>
      <c r="R58" s="3">
        <v>68.5</v>
      </c>
      <c r="S58" s="3">
        <v>31</v>
      </c>
      <c r="T58" s="3">
        <v>31</v>
      </c>
      <c r="U58" s="3">
        <v>56</v>
      </c>
      <c r="V58" s="3">
        <v>19</v>
      </c>
      <c r="W58" s="3">
        <v>123</v>
      </c>
      <c r="X58" s="3">
        <v>19</v>
      </c>
      <c r="Y58" s="3">
        <v>31</v>
      </c>
      <c r="Z58" s="3">
        <v>18.5</v>
      </c>
      <c r="AA58" s="3">
        <v>31</v>
      </c>
      <c r="AB58" s="3">
        <v>19</v>
      </c>
      <c r="AC58" s="3">
        <v>26</v>
      </c>
      <c r="AD58" s="3">
        <v>21.5</v>
      </c>
      <c r="AE58" s="3">
        <v>31</v>
      </c>
      <c r="AF58" s="3">
        <v>55</v>
      </c>
      <c r="AG58" s="3">
        <v>124</v>
      </c>
      <c r="AH58" s="3">
        <v>31</v>
      </c>
      <c r="AI58" s="3">
        <v>185</v>
      </c>
      <c r="AJ58" s="3">
        <v>732.5</v>
      </c>
      <c r="AK58" s="3">
        <v>20</v>
      </c>
      <c r="AL58" s="3">
        <v>22.5</v>
      </c>
      <c r="AM58" s="3">
        <v>25</v>
      </c>
      <c r="AN58" s="3">
        <v>24.5</v>
      </c>
      <c r="AO58" s="3">
        <v>36</v>
      </c>
      <c r="AP58" s="3">
        <v>125</v>
      </c>
      <c r="AQ58" s="3">
        <v>18.5</v>
      </c>
      <c r="AR58" s="3">
        <v>55</v>
      </c>
      <c r="AS58" s="3">
        <v>112</v>
      </c>
      <c r="AT58" s="3">
        <v>45</v>
      </c>
      <c r="AU58" s="3">
        <v>55</v>
      </c>
      <c r="AV58" s="3">
        <v>110</v>
      </c>
      <c r="AW58" s="3">
        <v>116</v>
      </c>
      <c r="AX58" s="3">
        <v>18</v>
      </c>
      <c r="AY58" s="3">
        <v>24.5</v>
      </c>
      <c r="AZ58" s="3">
        <v>105</v>
      </c>
      <c r="BA58" s="3">
        <v>26.5</v>
      </c>
      <c r="BB58" s="3">
        <v>30</v>
      </c>
      <c r="BC58" s="3">
        <v>55</v>
      </c>
      <c r="BD58" s="3">
        <v>45</v>
      </c>
      <c r="BE58" s="3">
        <v>74</v>
      </c>
      <c r="BF58" s="3">
        <v>27</v>
      </c>
      <c r="BG58" s="3">
        <v>21</v>
      </c>
      <c r="BH58" s="3">
        <v>30</v>
      </c>
      <c r="BI58" s="3">
        <v>55</v>
      </c>
      <c r="BJ58" s="3">
        <v>74.5</v>
      </c>
      <c r="BK58" s="3">
        <v>106</v>
      </c>
      <c r="BL58" s="3">
        <v>75</v>
      </c>
      <c r="BM58" s="3">
        <v>30</v>
      </c>
      <c r="BN58" s="3">
        <v>740</v>
      </c>
      <c r="BO58" s="3">
        <v>28</v>
      </c>
      <c r="BP58" s="3">
        <v>615</v>
      </c>
      <c r="BQ58" s="3">
        <v>95</v>
      </c>
      <c r="BR58" s="3">
        <v>57</v>
      </c>
      <c r="BS58" s="3">
        <v>650</v>
      </c>
      <c r="BT58" s="3">
        <v>91</v>
      </c>
      <c r="BU58" s="3">
        <v>57</v>
      </c>
      <c r="BV58" s="3">
        <v>670</v>
      </c>
      <c r="BW58" s="3">
        <v>590</v>
      </c>
      <c r="BX58" s="3">
        <v>58</v>
      </c>
      <c r="BY58" s="3">
        <v>99</v>
      </c>
      <c r="BZ58" s="3">
        <v>620</v>
      </c>
      <c r="CA58" s="3">
        <v>58</v>
      </c>
      <c r="CB58" s="3">
        <v>585</v>
      </c>
      <c r="CC58" s="3">
        <v>560</v>
      </c>
      <c r="CD58" s="3">
        <v>106</v>
      </c>
      <c r="CE58" s="3">
        <v>103</v>
      </c>
      <c r="CF58" s="3">
        <v>99</v>
      </c>
      <c r="CG58" s="3">
        <v>105</v>
      </c>
      <c r="CH58" s="3">
        <v>21</v>
      </c>
      <c r="CI58" s="3">
        <v>95</v>
      </c>
      <c r="CJ58" s="3">
        <v>185</v>
      </c>
      <c r="CK58" s="3">
        <v>21</v>
      </c>
      <c r="CL58" s="3">
        <v>92.5</v>
      </c>
      <c r="CM58" s="3">
        <v>100</v>
      </c>
      <c r="CN58" s="3">
        <v>23.5</v>
      </c>
      <c r="CO58" s="3">
        <v>54</v>
      </c>
      <c r="CP58" s="3">
        <v>25</v>
      </c>
      <c r="CQ58" s="3">
        <v>610</v>
      </c>
      <c r="CR58" s="3">
        <v>105</v>
      </c>
      <c r="CS58" s="3">
        <v>190</v>
      </c>
      <c r="CT58" s="3">
        <v>190</v>
      </c>
      <c r="CU58" s="3">
        <v>190</v>
      </c>
      <c r="CV58" s="3">
        <v>95</v>
      </c>
      <c r="CW58" s="3">
        <v>95</v>
      </c>
      <c r="CX58" s="3">
        <v>110</v>
      </c>
      <c r="CY58" s="3">
        <v>196</v>
      </c>
      <c r="CZ58" s="3">
        <v>100</v>
      </c>
      <c r="DA58" s="3">
        <v>100</v>
      </c>
      <c r="DB58" s="3">
        <v>110</v>
      </c>
      <c r="DC58" s="3">
        <v>113</v>
      </c>
      <c r="DD58" s="3">
        <v>630</v>
      </c>
      <c r="DE58" s="3">
        <v>105</v>
      </c>
      <c r="DF58" s="3">
        <v>60</v>
      </c>
      <c r="DG58" s="3">
        <v>60</v>
      </c>
      <c r="DH58" s="3">
        <v>102</v>
      </c>
      <c r="DI58" s="3">
        <v>196</v>
      </c>
      <c r="DJ58" s="3">
        <v>113</v>
      </c>
      <c r="DK58" s="3">
        <v>113</v>
      </c>
    </row>
    <row r="59" spans="7:115" x14ac:dyDescent="0.35">
      <c r="G59" t="s">
        <v>247</v>
      </c>
      <c r="H59" s="3">
        <v>122</v>
      </c>
      <c r="I59" s="3">
        <v>16</v>
      </c>
      <c r="J59" s="3">
        <v>18.5</v>
      </c>
      <c r="K59" s="3">
        <v>24</v>
      </c>
      <c r="L59" s="3">
        <v>31</v>
      </c>
      <c r="M59" s="3">
        <v>46</v>
      </c>
      <c r="N59" s="3">
        <v>26</v>
      </c>
      <c r="O59" s="3">
        <v>20</v>
      </c>
      <c r="P59" s="3">
        <v>56.5</v>
      </c>
      <c r="Q59" s="3">
        <v>116</v>
      </c>
      <c r="R59" s="3">
        <v>68.5</v>
      </c>
      <c r="S59" s="3">
        <v>31</v>
      </c>
      <c r="T59" s="3">
        <v>31</v>
      </c>
      <c r="U59" s="3">
        <v>56</v>
      </c>
      <c r="V59" s="3">
        <v>20</v>
      </c>
      <c r="W59" s="3">
        <v>122</v>
      </c>
      <c r="X59" s="3">
        <v>19</v>
      </c>
      <c r="Y59" s="3">
        <v>31</v>
      </c>
      <c r="Z59" s="3">
        <v>20</v>
      </c>
      <c r="AA59" s="3">
        <v>31</v>
      </c>
      <c r="AB59" s="3">
        <v>18.5</v>
      </c>
      <c r="AC59" s="3">
        <v>25.5</v>
      </c>
      <c r="AD59" s="3">
        <v>21</v>
      </c>
      <c r="AE59" s="3">
        <v>31</v>
      </c>
      <c r="AF59" s="3">
        <v>56</v>
      </c>
      <c r="AG59" s="3">
        <v>123</v>
      </c>
      <c r="AH59" s="3">
        <v>31</v>
      </c>
      <c r="AI59" s="3">
        <v>177.5</v>
      </c>
      <c r="AJ59" s="3">
        <v>715</v>
      </c>
      <c r="AK59" s="3">
        <v>19</v>
      </c>
      <c r="AL59" s="3">
        <v>21.5</v>
      </c>
      <c r="AM59" s="3">
        <v>24</v>
      </c>
      <c r="AN59" s="3">
        <v>26.5</v>
      </c>
      <c r="AO59" s="3">
        <v>43</v>
      </c>
      <c r="AP59" s="3">
        <v>124</v>
      </c>
      <c r="AQ59" s="3">
        <v>20</v>
      </c>
      <c r="AR59" s="3">
        <v>55</v>
      </c>
      <c r="AS59" s="3">
        <v>115</v>
      </c>
      <c r="AT59" s="3">
        <v>45</v>
      </c>
      <c r="AU59" s="3">
        <v>55</v>
      </c>
      <c r="AV59" s="3">
        <v>113</v>
      </c>
      <c r="AW59" s="3">
        <v>115</v>
      </c>
      <c r="AX59" s="3">
        <v>20</v>
      </c>
      <c r="AY59" s="3">
        <v>26.5</v>
      </c>
      <c r="AZ59" s="3">
        <v>116</v>
      </c>
      <c r="BA59" s="3">
        <v>26</v>
      </c>
      <c r="BB59" s="3">
        <v>29.5</v>
      </c>
      <c r="BC59" s="3">
        <v>55</v>
      </c>
      <c r="BD59" s="3">
        <v>45</v>
      </c>
      <c r="BE59" s="3">
        <v>73.5</v>
      </c>
      <c r="BF59" s="3">
        <v>26.5</v>
      </c>
      <c r="BG59" s="3">
        <v>20</v>
      </c>
      <c r="BH59" s="3">
        <v>30</v>
      </c>
      <c r="BI59" s="3">
        <v>55</v>
      </c>
      <c r="BJ59" s="3">
        <v>74</v>
      </c>
      <c r="BK59" s="3">
        <v>105</v>
      </c>
      <c r="BL59" s="3">
        <v>74.5</v>
      </c>
      <c r="BM59" s="3">
        <v>30</v>
      </c>
      <c r="BN59" s="3">
        <v>765</v>
      </c>
      <c r="BO59" s="3">
        <v>27</v>
      </c>
      <c r="BP59" s="3">
        <v>740</v>
      </c>
      <c r="BQ59" s="3">
        <v>94</v>
      </c>
      <c r="BR59" s="3">
        <v>56</v>
      </c>
      <c r="BS59" s="3">
        <v>672.5</v>
      </c>
      <c r="BT59" s="3">
        <v>90.5</v>
      </c>
      <c r="BU59" s="3">
        <v>58</v>
      </c>
      <c r="BV59" s="3">
        <v>650</v>
      </c>
      <c r="BW59" s="3">
        <v>670</v>
      </c>
      <c r="BX59" s="3">
        <v>57</v>
      </c>
      <c r="BY59" s="3">
        <v>97</v>
      </c>
      <c r="BZ59" s="3">
        <v>570</v>
      </c>
      <c r="CA59" s="3">
        <v>58</v>
      </c>
      <c r="CB59" s="3">
        <v>592.5</v>
      </c>
      <c r="CC59" s="3">
        <v>595</v>
      </c>
      <c r="CD59" s="3">
        <v>105</v>
      </c>
      <c r="CE59" s="3">
        <v>106</v>
      </c>
      <c r="CF59" s="3">
        <v>103</v>
      </c>
      <c r="CG59" s="3">
        <v>113</v>
      </c>
      <c r="CH59" s="3">
        <v>19</v>
      </c>
      <c r="CI59" s="3">
        <v>99</v>
      </c>
      <c r="CJ59" s="3">
        <v>195</v>
      </c>
      <c r="CK59" s="3">
        <v>19</v>
      </c>
      <c r="CL59" s="3">
        <v>95</v>
      </c>
      <c r="CM59" s="3">
        <v>113</v>
      </c>
      <c r="CN59" s="3">
        <v>21</v>
      </c>
      <c r="CO59" s="3">
        <v>56</v>
      </c>
      <c r="CP59" s="3">
        <v>23.5</v>
      </c>
      <c r="CQ59" s="3">
        <v>590</v>
      </c>
      <c r="CR59" s="3">
        <v>100</v>
      </c>
      <c r="CS59" s="3">
        <v>185</v>
      </c>
      <c r="CT59" s="3">
        <v>185</v>
      </c>
      <c r="CU59" s="3">
        <v>190</v>
      </c>
      <c r="CV59" s="3">
        <v>92.5</v>
      </c>
      <c r="CW59" s="3">
        <v>92.5</v>
      </c>
      <c r="CX59" s="3">
        <v>105</v>
      </c>
      <c r="CY59" s="3">
        <v>190</v>
      </c>
      <c r="CZ59" s="3">
        <v>95</v>
      </c>
      <c r="DA59" s="3">
        <v>95</v>
      </c>
      <c r="DB59" s="3">
        <v>110</v>
      </c>
      <c r="DC59" s="3">
        <v>113</v>
      </c>
      <c r="DD59" s="3">
        <v>660</v>
      </c>
      <c r="DE59" s="3">
        <v>102</v>
      </c>
      <c r="DF59" s="3">
        <v>60</v>
      </c>
      <c r="DG59" s="3">
        <v>60</v>
      </c>
      <c r="DH59" s="3">
        <v>100</v>
      </c>
      <c r="DI59" s="3">
        <v>190</v>
      </c>
      <c r="DJ59" s="3">
        <v>110</v>
      </c>
      <c r="DK59" s="3">
        <v>110</v>
      </c>
    </row>
    <row r="60" spans="7:115" x14ac:dyDescent="0.35">
      <c r="G60" t="s">
        <v>13</v>
      </c>
      <c r="H60" s="3">
        <v>10</v>
      </c>
      <c r="I60" s="3">
        <v>10</v>
      </c>
      <c r="J60" s="3">
        <v>10</v>
      </c>
      <c r="K60" s="3">
        <v>10</v>
      </c>
      <c r="L60" s="3">
        <v>10</v>
      </c>
      <c r="M60" s="3">
        <v>10</v>
      </c>
      <c r="N60" s="3">
        <v>10</v>
      </c>
      <c r="O60" s="3">
        <v>10</v>
      </c>
      <c r="P60" s="3">
        <v>10</v>
      </c>
      <c r="Q60" s="3">
        <v>10</v>
      </c>
      <c r="R60" s="3">
        <v>10</v>
      </c>
      <c r="S60" s="3">
        <v>10</v>
      </c>
      <c r="T60" s="3">
        <v>10</v>
      </c>
      <c r="U60" s="3">
        <v>10</v>
      </c>
      <c r="V60" s="3">
        <v>10</v>
      </c>
      <c r="W60" s="3">
        <v>10</v>
      </c>
      <c r="X60" s="3">
        <v>10</v>
      </c>
      <c r="Y60" s="3">
        <v>10</v>
      </c>
      <c r="Z60" s="3">
        <v>10</v>
      </c>
      <c r="AA60" s="3">
        <v>10</v>
      </c>
      <c r="AB60" s="3">
        <v>10</v>
      </c>
      <c r="AC60" s="3">
        <v>10</v>
      </c>
      <c r="AD60" s="3">
        <v>10</v>
      </c>
      <c r="AE60" s="3">
        <v>10</v>
      </c>
      <c r="AF60" s="3">
        <v>10</v>
      </c>
      <c r="AG60" s="3">
        <v>10</v>
      </c>
      <c r="AH60" s="3">
        <v>10</v>
      </c>
      <c r="AI60" s="3">
        <v>10</v>
      </c>
      <c r="AJ60" s="3">
        <v>10</v>
      </c>
      <c r="AK60" s="3">
        <v>10</v>
      </c>
      <c r="AL60" s="3">
        <v>10</v>
      </c>
      <c r="AM60" s="3">
        <v>10</v>
      </c>
      <c r="AN60" s="3">
        <v>10</v>
      </c>
      <c r="AO60" s="3">
        <v>10</v>
      </c>
      <c r="AP60" s="3">
        <v>10</v>
      </c>
      <c r="AQ60" s="3">
        <v>10</v>
      </c>
      <c r="AR60" s="3">
        <v>10</v>
      </c>
      <c r="AS60" s="3">
        <v>10</v>
      </c>
      <c r="AT60" s="3">
        <v>10</v>
      </c>
      <c r="AU60" s="3">
        <v>10</v>
      </c>
      <c r="AV60" s="3">
        <v>10</v>
      </c>
      <c r="AW60" s="3">
        <v>10</v>
      </c>
      <c r="AX60" s="3">
        <v>10</v>
      </c>
      <c r="AY60" s="3">
        <v>10</v>
      </c>
      <c r="AZ60" s="3">
        <v>10</v>
      </c>
      <c r="BA60" s="3">
        <v>10</v>
      </c>
      <c r="BB60" s="3">
        <v>10</v>
      </c>
      <c r="BC60" s="3">
        <v>10</v>
      </c>
      <c r="BD60" s="3">
        <v>10</v>
      </c>
      <c r="BE60" s="3">
        <v>10</v>
      </c>
      <c r="BF60" s="3">
        <v>10</v>
      </c>
      <c r="BG60" s="3">
        <v>10</v>
      </c>
      <c r="BH60" s="3">
        <v>10</v>
      </c>
      <c r="BI60" s="3">
        <v>10</v>
      </c>
      <c r="BJ60" s="3">
        <v>10</v>
      </c>
      <c r="BK60" s="3">
        <v>10</v>
      </c>
      <c r="BL60" s="3">
        <v>10</v>
      </c>
      <c r="BM60" s="3">
        <v>10</v>
      </c>
      <c r="BN60" s="3">
        <v>10</v>
      </c>
      <c r="BO60" s="3">
        <v>5</v>
      </c>
      <c r="BP60" s="3">
        <v>10</v>
      </c>
      <c r="BQ60" s="3">
        <v>25</v>
      </c>
      <c r="BR60" s="3">
        <v>25</v>
      </c>
      <c r="BS60" s="3">
        <v>25</v>
      </c>
      <c r="BT60" s="3">
        <v>25</v>
      </c>
      <c r="BU60" s="3">
        <v>25</v>
      </c>
      <c r="BV60" s="3">
        <v>25</v>
      </c>
      <c r="BW60" s="3">
        <v>25</v>
      </c>
      <c r="BX60" s="3">
        <v>25</v>
      </c>
      <c r="BY60" s="3">
        <v>25</v>
      </c>
      <c r="BZ60" s="3">
        <v>25</v>
      </c>
      <c r="CA60" s="3">
        <v>25</v>
      </c>
      <c r="CB60" s="3">
        <v>25</v>
      </c>
      <c r="CC60" s="3">
        <v>25</v>
      </c>
      <c r="CD60" s="3">
        <v>25</v>
      </c>
      <c r="CE60" s="3">
        <v>25</v>
      </c>
      <c r="CF60" s="3">
        <v>25</v>
      </c>
      <c r="CG60" s="3">
        <v>25</v>
      </c>
      <c r="CH60" s="3">
        <v>25</v>
      </c>
      <c r="CI60" s="3">
        <v>25</v>
      </c>
      <c r="CJ60" s="3">
        <v>25</v>
      </c>
      <c r="CK60" s="3">
        <v>25</v>
      </c>
      <c r="CL60" s="3">
        <v>25</v>
      </c>
      <c r="CM60" s="3">
        <v>25</v>
      </c>
      <c r="CN60" s="3">
        <v>25</v>
      </c>
      <c r="CO60" s="3">
        <v>25</v>
      </c>
      <c r="CP60" s="3">
        <v>25</v>
      </c>
      <c r="CQ60" s="3">
        <v>25</v>
      </c>
      <c r="CR60" s="3">
        <v>25</v>
      </c>
      <c r="CS60" s="3">
        <v>25</v>
      </c>
      <c r="CT60" s="3">
        <v>25</v>
      </c>
      <c r="CU60" s="3">
        <v>25</v>
      </c>
      <c r="CV60" s="3">
        <v>25</v>
      </c>
      <c r="CW60" s="3">
        <v>25</v>
      </c>
      <c r="CX60" s="3">
        <v>25</v>
      </c>
      <c r="CY60" s="3">
        <v>25</v>
      </c>
      <c r="CZ60" s="3">
        <v>25</v>
      </c>
      <c r="DA60" s="3">
        <v>25</v>
      </c>
      <c r="DB60" s="3">
        <v>25</v>
      </c>
      <c r="DC60" s="3">
        <v>25</v>
      </c>
      <c r="DD60" s="3">
        <v>25</v>
      </c>
      <c r="DE60" s="3">
        <v>25</v>
      </c>
      <c r="DF60" s="3">
        <v>25</v>
      </c>
      <c r="DG60" s="3">
        <v>25</v>
      </c>
      <c r="DH60" s="3">
        <v>25</v>
      </c>
      <c r="DI60" s="3">
        <v>25</v>
      </c>
      <c r="DJ60" s="3">
        <v>25</v>
      </c>
      <c r="DK60" s="3">
        <v>25</v>
      </c>
    </row>
    <row r="61" spans="7:115" x14ac:dyDescent="0.35">
      <c r="G61" t="s">
        <v>14</v>
      </c>
      <c r="H61" s="3">
        <v>0.8</v>
      </c>
      <c r="I61" s="3">
        <v>0.8</v>
      </c>
      <c r="J61" s="3">
        <v>0.8</v>
      </c>
      <c r="K61" s="3">
        <v>0.8</v>
      </c>
      <c r="L61" s="3">
        <v>0.8</v>
      </c>
      <c r="M61" s="3">
        <v>0.8</v>
      </c>
      <c r="N61" s="3">
        <v>0.8</v>
      </c>
      <c r="O61" s="3">
        <v>0.8</v>
      </c>
      <c r="P61" s="3">
        <v>0.8</v>
      </c>
      <c r="Q61" s="3">
        <v>0.8</v>
      </c>
      <c r="R61" s="3">
        <v>0.8</v>
      </c>
      <c r="S61" s="3">
        <v>0.8</v>
      </c>
      <c r="T61" s="3">
        <v>0.8</v>
      </c>
      <c r="U61" s="3">
        <v>0.8</v>
      </c>
      <c r="V61" s="3">
        <v>0.8</v>
      </c>
      <c r="W61" s="3">
        <v>0.8</v>
      </c>
      <c r="X61" s="3">
        <v>0.8</v>
      </c>
      <c r="Y61" s="3">
        <v>0.8</v>
      </c>
      <c r="Z61" s="3">
        <v>0.8</v>
      </c>
      <c r="AA61" s="3">
        <v>0.8</v>
      </c>
      <c r="AB61" s="3">
        <v>0.8</v>
      </c>
      <c r="AC61" s="3">
        <v>0.8</v>
      </c>
      <c r="AD61" s="3">
        <v>0.8</v>
      </c>
      <c r="AE61" s="3">
        <v>0.8</v>
      </c>
      <c r="AF61" s="3">
        <v>0.8</v>
      </c>
      <c r="AG61" s="3">
        <v>0.8</v>
      </c>
      <c r="AH61" s="3">
        <v>0.8</v>
      </c>
      <c r="AI61" s="3">
        <v>0.8</v>
      </c>
      <c r="AJ61" s="3">
        <v>0.8</v>
      </c>
      <c r="AK61" s="3">
        <v>0.8</v>
      </c>
      <c r="AL61" s="3">
        <v>0.8</v>
      </c>
      <c r="AM61" s="3">
        <v>0.8</v>
      </c>
      <c r="AN61" s="3">
        <v>0.8</v>
      </c>
      <c r="AO61" s="3">
        <v>0.8</v>
      </c>
      <c r="AP61" s="3">
        <v>0.8</v>
      </c>
      <c r="AQ61" s="3">
        <v>0.8</v>
      </c>
      <c r="AR61" s="3">
        <v>0.8</v>
      </c>
      <c r="AS61" s="3">
        <v>0.8</v>
      </c>
      <c r="AT61" s="3">
        <v>0.8</v>
      </c>
      <c r="AU61" s="3">
        <v>0.8</v>
      </c>
      <c r="AV61" s="3">
        <v>0.8</v>
      </c>
      <c r="AW61" s="3">
        <v>0.8</v>
      </c>
      <c r="AX61" s="3">
        <v>0.8</v>
      </c>
      <c r="AY61" s="3">
        <v>0.8</v>
      </c>
      <c r="AZ61" s="3">
        <v>0.8</v>
      </c>
      <c r="BA61" s="3">
        <v>0.8</v>
      </c>
      <c r="BB61" s="3">
        <v>0.8</v>
      </c>
      <c r="BC61" s="3">
        <v>0.8</v>
      </c>
      <c r="BD61" s="3">
        <v>0.8</v>
      </c>
      <c r="BE61" s="3">
        <v>0.8</v>
      </c>
      <c r="BF61" s="3">
        <v>0.8</v>
      </c>
      <c r="BG61" s="3">
        <v>0.8</v>
      </c>
      <c r="BH61" s="3">
        <v>0.8</v>
      </c>
      <c r="BI61" s="3">
        <v>0.8</v>
      </c>
      <c r="BJ61" s="3">
        <v>0.8</v>
      </c>
      <c r="BK61" s="3">
        <v>0.8</v>
      </c>
      <c r="BL61" s="3">
        <v>0.8</v>
      </c>
      <c r="BM61" s="3">
        <v>0.8</v>
      </c>
      <c r="BN61" s="3">
        <v>0.8</v>
      </c>
      <c r="BO61" s="3">
        <v>0.8</v>
      </c>
      <c r="BP61" s="3">
        <v>0.8</v>
      </c>
      <c r="BQ61" s="3">
        <v>1.8</v>
      </c>
      <c r="BR61" s="3">
        <v>1.8</v>
      </c>
      <c r="BS61" s="3">
        <v>1.8</v>
      </c>
      <c r="BT61" s="3">
        <v>1.75</v>
      </c>
      <c r="BU61" s="3">
        <v>1.75</v>
      </c>
      <c r="BV61" s="3">
        <v>1.75</v>
      </c>
      <c r="BW61" s="3">
        <v>1.75</v>
      </c>
      <c r="BX61" s="3">
        <v>1.75</v>
      </c>
      <c r="BY61" s="3">
        <v>1.75</v>
      </c>
      <c r="BZ61" s="3">
        <v>1.75</v>
      </c>
      <c r="CA61" s="3">
        <v>1.75</v>
      </c>
      <c r="CB61" s="3">
        <v>1.75</v>
      </c>
      <c r="CC61" s="3">
        <v>1.75</v>
      </c>
      <c r="CD61" s="3">
        <v>1.75</v>
      </c>
      <c r="CE61" s="3">
        <v>1.75</v>
      </c>
      <c r="CF61" s="3">
        <v>1.75</v>
      </c>
      <c r="CG61" s="3">
        <v>1.75</v>
      </c>
      <c r="CH61" s="3">
        <v>1.75</v>
      </c>
      <c r="CI61" s="3">
        <v>1.75</v>
      </c>
      <c r="CJ61" s="3">
        <v>1.75</v>
      </c>
      <c r="CK61" s="3">
        <v>1.75</v>
      </c>
      <c r="CL61" s="3">
        <v>1.75</v>
      </c>
      <c r="CM61" s="3">
        <v>1.75</v>
      </c>
      <c r="CN61" s="3">
        <v>1.75</v>
      </c>
      <c r="CO61" s="3">
        <v>1.75</v>
      </c>
      <c r="CP61" s="3">
        <v>1.75</v>
      </c>
      <c r="CQ61" s="3">
        <v>1.75</v>
      </c>
      <c r="CR61" s="3">
        <v>1.75</v>
      </c>
      <c r="CS61" s="3">
        <v>1.75</v>
      </c>
      <c r="CT61" s="3">
        <v>1.75</v>
      </c>
      <c r="CU61" s="3">
        <v>1.75</v>
      </c>
      <c r="CV61" s="3">
        <v>1.75</v>
      </c>
      <c r="CW61" s="3">
        <v>1.75</v>
      </c>
      <c r="CX61" s="3">
        <v>1.75</v>
      </c>
      <c r="CY61" s="3">
        <v>1.75</v>
      </c>
      <c r="CZ61" s="3">
        <v>1.75</v>
      </c>
      <c r="DA61" s="3">
        <v>1.75</v>
      </c>
      <c r="DB61" s="3">
        <v>1.75</v>
      </c>
      <c r="DC61" s="3">
        <v>1.75</v>
      </c>
      <c r="DD61" s="3">
        <v>1.75</v>
      </c>
      <c r="DE61" s="3">
        <v>1.75</v>
      </c>
      <c r="DF61" s="3">
        <v>1.75</v>
      </c>
      <c r="DG61" s="3">
        <v>1.75</v>
      </c>
      <c r="DH61" s="3">
        <v>1.75</v>
      </c>
      <c r="DI61" s="3">
        <v>1.75</v>
      </c>
      <c r="DJ61" s="3">
        <v>1.75</v>
      </c>
      <c r="DK61" s="3">
        <v>1.75</v>
      </c>
    </row>
    <row r="62" spans="7:115" x14ac:dyDescent="0.35">
      <c r="G62" t="s">
        <v>318</v>
      </c>
      <c r="H62" s="6">
        <v>1</v>
      </c>
      <c r="I62" s="6">
        <v>3</v>
      </c>
      <c r="J62" s="6">
        <v>3</v>
      </c>
      <c r="K62" s="6">
        <v>4</v>
      </c>
      <c r="L62" s="6">
        <v>3</v>
      </c>
      <c r="M62" s="6">
        <v>25</v>
      </c>
      <c r="N62" s="6">
        <v>3</v>
      </c>
      <c r="O62" s="6">
        <v>3</v>
      </c>
      <c r="P62" s="6">
        <v>3</v>
      </c>
      <c r="Q62" s="6">
        <v>3</v>
      </c>
      <c r="R62" s="6">
        <v>3</v>
      </c>
      <c r="S62" s="6">
        <v>3</v>
      </c>
      <c r="T62" s="6">
        <v>4</v>
      </c>
      <c r="U62" s="6">
        <v>4</v>
      </c>
      <c r="V62" s="6">
        <v>3</v>
      </c>
      <c r="W62" s="6">
        <v>5</v>
      </c>
      <c r="X62" s="6">
        <v>3</v>
      </c>
      <c r="Y62" s="6">
        <v>3</v>
      </c>
      <c r="Z62" s="6">
        <v>3</v>
      </c>
      <c r="AA62" s="6">
        <v>2</v>
      </c>
      <c r="AB62" s="6">
        <v>4</v>
      </c>
      <c r="AC62" s="6">
        <v>12</v>
      </c>
      <c r="AD62" s="6">
        <v>4</v>
      </c>
      <c r="AE62" s="6">
        <v>2</v>
      </c>
      <c r="AF62" s="6">
        <v>3</v>
      </c>
      <c r="AG62" s="6">
        <v>6</v>
      </c>
      <c r="AH62" s="6">
        <v>1</v>
      </c>
      <c r="AI62" s="6">
        <v>2</v>
      </c>
      <c r="AJ62" s="6">
        <v>6</v>
      </c>
      <c r="AK62" s="6">
        <v>6</v>
      </c>
      <c r="AL62" s="6">
        <v>8</v>
      </c>
      <c r="AM62" s="6">
        <v>8</v>
      </c>
      <c r="AN62" s="6">
        <v>8</v>
      </c>
      <c r="AO62" s="6">
        <v>1</v>
      </c>
      <c r="AP62" s="6">
        <v>2</v>
      </c>
      <c r="AQ62" s="6">
        <v>2</v>
      </c>
      <c r="AR62" s="6">
        <v>2</v>
      </c>
      <c r="AS62" s="6">
        <v>12</v>
      </c>
      <c r="AT62" s="6">
        <v>12</v>
      </c>
      <c r="AU62" s="6">
        <v>1</v>
      </c>
      <c r="AV62" s="6">
        <v>2</v>
      </c>
      <c r="AW62" s="6">
        <v>2</v>
      </c>
      <c r="AX62" s="6">
        <v>1</v>
      </c>
      <c r="AY62" s="6">
        <v>8</v>
      </c>
      <c r="AZ62" s="6">
        <v>1</v>
      </c>
      <c r="BA62" s="6">
        <v>8</v>
      </c>
      <c r="BB62" s="6">
        <v>3</v>
      </c>
      <c r="BC62" s="6">
        <v>2</v>
      </c>
      <c r="BD62" s="6">
        <v>2</v>
      </c>
      <c r="BE62" s="6">
        <v>3</v>
      </c>
      <c r="BF62" s="6">
        <v>2</v>
      </c>
      <c r="BG62" s="6">
        <v>3</v>
      </c>
      <c r="BH62" s="6">
        <v>4</v>
      </c>
      <c r="BI62" s="6">
        <v>4</v>
      </c>
      <c r="BJ62" s="6">
        <v>2</v>
      </c>
      <c r="BK62" s="6">
        <v>3</v>
      </c>
      <c r="BL62" s="6">
        <v>1</v>
      </c>
      <c r="BM62" s="6">
        <v>2</v>
      </c>
      <c r="BN62" s="6">
        <v>1</v>
      </c>
      <c r="BO62" s="6">
        <v>5</v>
      </c>
      <c r="BP62" s="6">
        <v>5</v>
      </c>
      <c r="BQ62" s="6">
        <v>2</v>
      </c>
      <c r="BR62" s="6">
        <v>6</v>
      </c>
      <c r="BS62" s="6">
        <v>1</v>
      </c>
      <c r="BT62" s="6">
        <v>1</v>
      </c>
      <c r="BU62" s="6">
        <v>2</v>
      </c>
      <c r="BV62" s="6">
        <v>4</v>
      </c>
      <c r="BW62" s="6">
        <v>8</v>
      </c>
      <c r="BX62" s="6">
        <v>6</v>
      </c>
      <c r="BY62" s="6">
        <v>6</v>
      </c>
      <c r="BZ62" s="6">
        <v>1</v>
      </c>
      <c r="CA62" s="6">
        <v>1</v>
      </c>
      <c r="CB62" s="6">
        <v>1</v>
      </c>
      <c r="CC62" s="6">
        <v>-10</v>
      </c>
      <c r="CD62" s="6">
        <v>1</v>
      </c>
      <c r="CE62" s="6">
        <v>1</v>
      </c>
      <c r="CF62" s="6">
        <v>1</v>
      </c>
      <c r="CG62" s="6">
        <v>30</v>
      </c>
      <c r="CH62" s="6">
        <v>16</v>
      </c>
      <c r="CI62" s="6">
        <v>1</v>
      </c>
      <c r="CJ62" s="6">
        <v>-12</v>
      </c>
      <c r="CK62" s="6">
        <v>18</v>
      </c>
      <c r="CL62" s="6">
        <v>1</v>
      </c>
      <c r="CM62" s="6">
        <v>8</v>
      </c>
      <c r="CN62" s="6">
        <v>8</v>
      </c>
      <c r="CO62" s="6">
        <v>3</v>
      </c>
      <c r="CP62" s="6">
        <v>3</v>
      </c>
      <c r="CQ62" s="6">
        <f>20</f>
        <v>20</v>
      </c>
      <c r="CR62" s="6">
        <v>25</v>
      </c>
      <c r="CS62" s="6">
        <v>12.5</v>
      </c>
      <c r="CT62" s="6">
        <v>12</v>
      </c>
      <c r="CU62" s="6">
        <v>12</v>
      </c>
      <c r="CV62" s="6">
        <v>8</v>
      </c>
      <c r="CW62" s="6">
        <v>12</v>
      </c>
      <c r="CX62" s="6">
        <v>50</v>
      </c>
      <c r="CY62" s="6">
        <v>11</v>
      </c>
      <c r="CZ62" s="6">
        <v>5</v>
      </c>
      <c r="DA62" s="6">
        <v>5</v>
      </c>
      <c r="DB62" s="6">
        <v>3</v>
      </c>
      <c r="DC62" s="6">
        <v>3</v>
      </c>
      <c r="DD62" s="6">
        <v>2</v>
      </c>
      <c r="DE62" s="6">
        <v>1</v>
      </c>
      <c r="DF62" s="6">
        <v>12</v>
      </c>
      <c r="DG62" s="6">
        <v>12</v>
      </c>
      <c r="DH62" s="6">
        <v>2</v>
      </c>
      <c r="DI62" s="6">
        <v>4</v>
      </c>
      <c r="DJ62" s="6">
        <v>25</v>
      </c>
      <c r="DK62" s="6">
        <v>25</v>
      </c>
    </row>
    <row r="63" spans="7:115" x14ac:dyDescent="0.35">
      <c r="DI63" s="6"/>
    </row>
    <row r="64" spans="7:115" x14ac:dyDescent="0.35">
      <c r="G64" t="s">
        <v>275</v>
      </c>
      <c r="H64" s="3">
        <f t="shared" ref="H64:BS64" si="18">H59*H57*100</f>
        <v>48800</v>
      </c>
      <c r="I64" s="3">
        <f t="shared" si="18"/>
        <v>8000</v>
      </c>
      <c r="J64" s="3">
        <f t="shared" si="18"/>
        <v>9250</v>
      </c>
      <c r="K64" s="3">
        <f t="shared" si="18"/>
        <v>4800</v>
      </c>
      <c r="L64" s="3">
        <f t="shared" si="18"/>
        <v>31000</v>
      </c>
      <c r="M64" s="3">
        <f t="shared" si="18"/>
        <v>9200</v>
      </c>
      <c r="N64" s="3">
        <f t="shared" si="18"/>
        <v>7800</v>
      </c>
      <c r="O64" s="3">
        <f t="shared" si="18"/>
        <v>10000</v>
      </c>
      <c r="P64" s="3">
        <f t="shared" si="18"/>
        <v>39550</v>
      </c>
      <c r="Q64" s="3">
        <f t="shared" si="18"/>
        <v>34800</v>
      </c>
      <c r="R64" s="3">
        <f t="shared" si="18"/>
        <v>27400</v>
      </c>
      <c r="S64" s="3">
        <f t="shared" si="18"/>
        <v>12400</v>
      </c>
      <c r="T64" s="3">
        <f t="shared" si="18"/>
        <v>18600</v>
      </c>
      <c r="U64" s="3">
        <f t="shared" si="18"/>
        <v>39200</v>
      </c>
      <c r="V64" s="3">
        <f t="shared" si="18"/>
        <v>10000</v>
      </c>
      <c r="W64" s="3">
        <f t="shared" si="18"/>
        <v>48800</v>
      </c>
      <c r="X64" s="3">
        <f t="shared" si="18"/>
        <v>9500</v>
      </c>
      <c r="Y64" s="3">
        <f t="shared" si="18"/>
        <v>12400</v>
      </c>
      <c r="Z64" s="3">
        <f t="shared" si="18"/>
        <v>10000</v>
      </c>
      <c r="AA64" s="3">
        <f t="shared" si="18"/>
        <v>18600</v>
      </c>
      <c r="AB64" s="3">
        <f t="shared" si="18"/>
        <v>9250</v>
      </c>
      <c r="AC64" s="3">
        <f t="shared" si="18"/>
        <v>17850</v>
      </c>
      <c r="AD64" s="3">
        <f t="shared" si="18"/>
        <v>6300</v>
      </c>
      <c r="AE64" s="3">
        <f t="shared" si="18"/>
        <v>31000</v>
      </c>
      <c r="AF64" s="3">
        <f t="shared" si="18"/>
        <v>39200</v>
      </c>
      <c r="AG64" s="3">
        <f t="shared" si="18"/>
        <v>49200</v>
      </c>
      <c r="AH64" s="3">
        <f t="shared" si="18"/>
        <v>31000</v>
      </c>
      <c r="AI64" s="3">
        <f t="shared" si="18"/>
        <v>17750</v>
      </c>
      <c r="AJ64" s="3">
        <f t="shared" si="18"/>
        <v>71500</v>
      </c>
      <c r="AK64" s="3">
        <f t="shared" si="18"/>
        <v>9500</v>
      </c>
      <c r="AL64" s="3">
        <f t="shared" si="18"/>
        <v>6450</v>
      </c>
      <c r="AM64" s="3">
        <f t="shared" si="18"/>
        <v>4800</v>
      </c>
      <c r="AN64" s="3">
        <f t="shared" si="18"/>
        <v>7950</v>
      </c>
      <c r="AO64" s="3">
        <f t="shared" si="18"/>
        <v>8600</v>
      </c>
      <c r="AP64" s="3">
        <f t="shared" si="18"/>
        <v>49600</v>
      </c>
      <c r="AQ64" s="3">
        <f t="shared" si="18"/>
        <v>10000</v>
      </c>
      <c r="AR64" s="3">
        <f t="shared" si="18"/>
        <v>11000</v>
      </c>
      <c r="AS64" s="3">
        <f t="shared" si="18"/>
        <v>34500</v>
      </c>
      <c r="AT64" s="3">
        <f t="shared" si="18"/>
        <v>9000</v>
      </c>
      <c r="AU64" s="3">
        <f t="shared" si="18"/>
        <v>11000</v>
      </c>
      <c r="AV64" s="3">
        <f t="shared" si="18"/>
        <v>33900</v>
      </c>
      <c r="AW64" s="3">
        <f t="shared" si="18"/>
        <v>23000</v>
      </c>
      <c r="AX64" s="3">
        <f t="shared" si="18"/>
        <v>10000</v>
      </c>
      <c r="AY64" s="3">
        <f t="shared" si="18"/>
        <v>7950</v>
      </c>
      <c r="AZ64" s="3">
        <f t="shared" si="18"/>
        <v>23200</v>
      </c>
      <c r="BA64" s="3">
        <f t="shared" si="18"/>
        <v>18200</v>
      </c>
      <c r="BB64" s="3">
        <f t="shared" si="18"/>
        <v>29500</v>
      </c>
      <c r="BC64" s="3">
        <f t="shared" si="18"/>
        <v>22000</v>
      </c>
      <c r="BD64" s="3">
        <f t="shared" si="18"/>
        <v>9000</v>
      </c>
      <c r="BE64" s="3">
        <f t="shared" si="18"/>
        <v>14700</v>
      </c>
      <c r="BF64" s="3">
        <f t="shared" si="18"/>
        <v>26500</v>
      </c>
      <c r="BG64" s="3">
        <f t="shared" si="18"/>
        <v>10000</v>
      </c>
      <c r="BH64" s="3">
        <f t="shared" si="18"/>
        <v>30000</v>
      </c>
      <c r="BI64" s="3">
        <f t="shared" si="18"/>
        <v>22000</v>
      </c>
      <c r="BJ64" s="3">
        <f t="shared" si="18"/>
        <v>14800</v>
      </c>
      <c r="BK64" s="3">
        <f t="shared" si="18"/>
        <v>31500</v>
      </c>
      <c r="BL64" s="3">
        <f t="shared" si="18"/>
        <v>14900</v>
      </c>
      <c r="BM64" s="3">
        <f t="shared" si="18"/>
        <v>30000</v>
      </c>
      <c r="BN64" s="3">
        <f t="shared" si="18"/>
        <v>76500</v>
      </c>
      <c r="BO64" s="3">
        <f t="shared" si="18"/>
        <v>27000</v>
      </c>
      <c r="BP64" s="3">
        <f t="shared" si="18"/>
        <v>74000</v>
      </c>
      <c r="BQ64" s="3">
        <f t="shared" si="18"/>
        <v>28200</v>
      </c>
      <c r="BR64" s="3">
        <f t="shared" si="18"/>
        <v>28000</v>
      </c>
      <c r="BS64" s="3">
        <f t="shared" si="18"/>
        <v>67250</v>
      </c>
      <c r="BT64" s="3">
        <f t="shared" ref="BT64:DK64" si="19">BT59*BT57*100</f>
        <v>27150</v>
      </c>
      <c r="BU64" s="3">
        <f t="shared" si="19"/>
        <v>29000</v>
      </c>
      <c r="BV64" s="3">
        <f t="shared" si="19"/>
        <v>65000</v>
      </c>
      <c r="BW64" s="3">
        <f t="shared" si="19"/>
        <v>67000</v>
      </c>
      <c r="BX64" s="3">
        <f t="shared" si="19"/>
        <v>28500</v>
      </c>
      <c r="BY64" s="3">
        <f t="shared" si="19"/>
        <v>29100</v>
      </c>
      <c r="BZ64" s="3">
        <f t="shared" si="19"/>
        <v>57000</v>
      </c>
      <c r="CA64" s="3">
        <f t="shared" si="19"/>
        <v>23200</v>
      </c>
      <c r="CB64" s="3">
        <f t="shared" si="19"/>
        <v>59250</v>
      </c>
      <c r="CC64" s="3">
        <f t="shared" si="19"/>
        <v>59500</v>
      </c>
      <c r="CD64" s="3">
        <f t="shared" si="19"/>
        <v>105000</v>
      </c>
      <c r="CE64" s="3">
        <f t="shared" si="19"/>
        <v>106000</v>
      </c>
      <c r="CF64" s="3">
        <f t="shared" si="19"/>
        <v>103000</v>
      </c>
      <c r="CG64" s="3">
        <f t="shared" si="19"/>
        <v>33900</v>
      </c>
      <c r="CH64" s="3">
        <f t="shared" si="19"/>
        <v>19000</v>
      </c>
      <c r="CI64" s="3">
        <f t="shared" si="19"/>
        <v>99000</v>
      </c>
      <c r="CJ64" s="3">
        <f t="shared" si="19"/>
        <v>58500</v>
      </c>
      <c r="CK64" s="3">
        <f t="shared" si="19"/>
        <v>19000</v>
      </c>
      <c r="CL64" s="3">
        <f t="shared" si="19"/>
        <v>95000</v>
      </c>
      <c r="CM64" s="3">
        <f t="shared" si="19"/>
        <v>33900</v>
      </c>
      <c r="CN64" s="3">
        <f t="shared" si="19"/>
        <v>21000</v>
      </c>
      <c r="CO64" s="3">
        <f t="shared" si="19"/>
        <v>28000</v>
      </c>
      <c r="CP64" s="3">
        <f t="shared" si="19"/>
        <v>23500</v>
      </c>
      <c r="CQ64" s="3">
        <f t="shared" si="19"/>
        <v>59000</v>
      </c>
      <c r="CR64" s="3">
        <f t="shared" si="19"/>
        <v>50000</v>
      </c>
      <c r="CS64" s="3">
        <f t="shared" si="19"/>
        <v>55500</v>
      </c>
      <c r="CT64" s="3">
        <f t="shared" si="19"/>
        <v>18500</v>
      </c>
      <c r="CU64" s="3">
        <f t="shared" si="19"/>
        <v>19000</v>
      </c>
      <c r="CV64" s="3">
        <f t="shared" si="19"/>
        <v>92500</v>
      </c>
      <c r="CW64" s="3">
        <f t="shared" si="19"/>
        <v>92500</v>
      </c>
      <c r="CX64" s="3">
        <f t="shared" si="19"/>
        <v>84000</v>
      </c>
      <c r="CY64" s="3">
        <f t="shared" si="19"/>
        <v>19000</v>
      </c>
      <c r="CZ64" s="3">
        <f t="shared" si="19"/>
        <v>95000</v>
      </c>
      <c r="DA64" s="3">
        <f t="shared" si="19"/>
        <v>95000</v>
      </c>
      <c r="DB64" s="3">
        <f t="shared" si="19"/>
        <v>55000</v>
      </c>
      <c r="DC64" s="3">
        <f t="shared" si="19"/>
        <v>56500</v>
      </c>
      <c r="DD64" s="3">
        <f t="shared" si="19"/>
        <v>66000</v>
      </c>
      <c r="DE64" s="3">
        <f t="shared" si="19"/>
        <v>102000</v>
      </c>
      <c r="DF64" s="3">
        <f t="shared" si="19"/>
        <v>24000</v>
      </c>
      <c r="DG64" s="3">
        <f t="shared" si="19"/>
        <v>24000</v>
      </c>
      <c r="DH64" s="3">
        <f t="shared" si="19"/>
        <v>100000</v>
      </c>
      <c r="DI64" s="3">
        <f t="shared" si="19"/>
        <v>19000</v>
      </c>
      <c r="DJ64" s="3">
        <f t="shared" si="19"/>
        <v>88000</v>
      </c>
      <c r="DK64" s="3">
        <f t="shared" si="19"/>
        <v>55000</v>
      </c>
    </row>
    <row r="65" spans="7:115" x14ac:dyDescent="0.35">
      <c r="G65" t="s">
        <v>274</v>
      </c>
      <c r="H65" s="3">
        <f t="shared" ref="H65:BS65" si="20">(H55*100+H61)*H57+H60</f>
        <v>725.2</v>
      </c>
      <c r="I65" s="3">
        <f t="shared" si="20"/>
        <v>24</v>
      </c>
      <c r="J65" s="3">
        <f t="shared" si="20"/>
        <v>879</v>
      </c>
      <c r="K65" s="3">
        <f t="shared" si="20"/>
        <v>15.6</v>
      </c>
      <c r="L65" s="3">
        <f t="shared" si="20"/>
        <v>228</v>
      </c>
      <c r="M65" s="3">
        <f t="shared" si="20"/>
        <v>1863.6</v>
      </c>
      <c r="N65" s="3">
        <f t="shared" si="20"/>
        <v>75.400000000000006</v>
      </c>
      <c r="O65" s="3">
        <f t="shared" si="20"/>
        <v>79</v>
      </c>
      <c r="P65" s="3">
        <f t="shared" si="20"/>
        <v>1373.6000000000001</v>
      </c>
      <c r="Q65" s="3">
        <f t="shared" si="20"/>
        <v>1212.4000000000001</v>
      </c>
      <c r="R65" s="3">
        <f t="shared" si="20"/>
        <v>145.19999999999999</v>
      </c>
      <c r="S65" s="3">
        <f t="shared" si="20"/>
        <v>477.19999999999993</v>
      </c>
      <c r="T65" s="3">
        <f t="shared" si="20"/>
        <v>476.79999999999995</v>
      </c>
      <c r="U65" s="3">
        <f t="shared" si="20"/>
        <v>722.6</v>
      </c>
      <c r="V65" s="3">
        <f t="shared" si="20"/>
        <v>54</v>
      </c>
      <c r="W65" s="3">
        <f t="shared" si="20"/>
        <v>2393.1999999999998</v>
      </c>
      <c r="X65" s="3">
        <f t="shared" si="20"/>
        <v>1324</v>
      </c>
      <c r="Y65" s="3">
        <f t="shared" si="20"/>
        <v>465.19999999999993</v>
      </c>
      <c r="Z65" s="3">
        <f t="shared" si="20"/>
        <v>54</v>
      </c>
      <c r="AA65" s="3">
        <f t="shared" si="20"/>
        <v>584.79999999999995</v>
      </c>
      <c r="AB65" s="3">
        <f t="shared" si="20"/>
        <v>369</v>
      </c>
      <c r="AC65" s="3">
        <f t="shared" si="20"/>
        <v>3305.6</v>
      </c>
      <c r="AD65" s="3">
        <f t="shared" si="20"/>
        <v>330.4</v>
      </c>
      <c r="AE65" s="3">
        <f t="shared" si="20"/>
        <v>58</v>
      </c>
      <c r="AF65" s="3">
        <f t="shared" si="20"/>
        <v>624.6</v>
      </c>
      <c r="AG65" s="3">
        <f t="shared" si="20"/>
        <v>2693.2</v>
      </c>
      <c r="AH65" s="3">
        <f t="shared" si="20"/>
        <v>108</v>
      </c>
      <c r="AI65" s="3">
        <f t="shared" si="20"/>
        <v>128.80000000000001</v>
      </c>
      <c r="AJ65" s="3">
        <f t="shared" si="20"/>
        <v>2960.8</v>
      </c>
      <c r="AK65" s="3">
        <f t="shared" si="20"/>
        <v>754</v>
      </c>
      <c r="AL65" s="3">
        <f t="shared" si="20"/>
        <v>567.40000000000009</v>
      </c>
      <c r="AM65" s="3">
        <f t="shared" si="20"/>
        <v>191.6</v>
      </c>
      <c r="AN65" s="3">
        <f t="shared" si="20"/>
        <v>51.400000000000006</v>
      </c>
      <c r="AO65" s="3">
        <f t="shared" si="20"/>
        <v>241.59999999999997</v>
      </c>
      <c r="AP65" s="3">
        <f t="shared" si="20"/>
        <v>1621.1999999999998</v>
      </c>
      <c r="AQ65" s="3">
        <f t="shared" si="20"/>
        <v>404</v>
      </c>
      <c r="AR65" s="3">
        <f t="shared" si="20"/>
        <v>423.6</v>
      </c>
      <c r="AS65" s="3">
        <f t="shared" si="20"/>
        <v>762.40000000000009</v>
      </c>
      <c r="AT65" s="3">
        <f t="shared" si="20"/>
        <v>271.60000000000002</v>
      </c>
      <c r="AU65" s="3">
        <f t="shared" si="20"/>
        <v>291.60000000000002</v>
      </c>
      <c r="AV65" s="3">
        <f t="shared" si="20"/>
        <v>1992.3999999999999</v>
      </c>
      <c r="AW65" s="3">
        <f t="shared" si="20"/>
        <v>291.60000000000002</v>
      </c>
      <c r="AX65" s="3">
        <f t="shared" si="20"/>
        <v>184</v>
      </c>
      <c r="AY65" s="3">
        <f t="shared" si="20"/>
        <v>51.400000000000006</v>
      </c>
      <c r="AZ65" s="3">
        <f t="shared" si="20"/>
        <v>311.60000000000002</v>
      </c>
      <c r="BA65" s="3">
        <f t="shared" si="20"/>
        <v>2451.6</v>
      </c>
      <c r="BB65" s="3">
        <f t="shared" si="20"/>
        <v>1278</v>
      </c>
      <c r="BC65" s="3">
        <f t="shared" si="20"/>
        <v>741.2</v>
      </c>
      <c r="BD65" s="3">
        <f t="shared" si="20"/>
        <v>151.6</v>
      </c>
      <c r="BE65" s="3">
        <f t="shared" si="20"/>
        <v>515.6</v>
      </c>
      <c r="BF65" s="3">
        <f t="shared" si="20"/>
        <v>568</v>
      </c>
      <c r="BG65" s="3">
        <f t="shared" si="20"/>
        <v>824</v>
      </c>
      <c r="BH65" s="3">
        <f t="shared" si="20"/>
        <v>1458</v>
      </c>
      <c r="BI65" s="3">
        <f t="shared" si="20"/>
        <v>573.20000000000005</v>
      </c>
      <c r="BJ65" s="3">
        <f t="shared" si="20"/>
        <v>237.59999999999997</v>
      </c>
      <c r="BK65" s="3">
        <f t="shared" si="20"/>
        <v>714.40000000000009</v>
      </c>
      <c r="BL65" s="3">
        <f t="shared" si="20"/>
        <v>87.6</v>
      </c>
      <c r="BM65" s="3">
        <f t="shared" si="20"/>
        <v>1398</v>
      </c>
      <c r="BN65" s="3">
        <f t="shared" si="20"/>
        <v>605.79999999999995</v>
      </c>
      <c r="BO65" s="3">
        <f t="shared" si="20"/>
        <v>983</v>
      </c>
      <c r="BP65" s="3">
        <f t="shared" si="20"/>
        <v>1052.8</v>
      </c>
      <c r="BQ65" s="3">
        <f t="shared" si="20"/>
        <v>675.40000000000009</v>
      </c>
      <c r="BR65" s="3">
        <f t="shared" si="20"/>
        <v>1209</v>
      </c>
      <c r="BS65" s="3">
        <f t="shared" si="20"/>
        <v>226.8</v>
      </c>
      <c r="BT65" s="3">
        <f t="shared" ref="BT65:DK65" si="21">(BT55*100+BT61)*BT57+BT60</f>
        <v>129.25</v>
      </c>
      <c r="BU65" s="3">
        <f t="shared" si="21"/>
        <v>513.75</v>
      </c>
      <c r="BV65" s="3">
        <f t="shared" si="21"/>
        <v>1896.75</v>
      </c>
      <c r="BW65" s="3">
        <f t="shared" si="21"/>
        <v>596.75</v>
      </c>
      <c r="BX65" s="3">
        <f t="shared" si="21"/>
        <v>1008.75</v>
      </c>
      <c r="BY65" s="3">
        <f t="shared" si="21"/>
        <v>1635.25</v>
      </c>
      <c r="BZ65" s="3">
        <f t="shared" si="21"/>
        <v>61.75</v>
      </c>
      <c r="CA65" s="3">
        <f t="shared" si="21"/>
        <v>252.00000000000003</v>
      </c>
      <c r="CB65" s="3">
        <f t="shared" si="21"/>
        <v>226.75</v>
      </c>
      <c r="CC65" s="3">
        <f t="shared" si="21"/>
        <v>2471.75</v>
      </c>
      <c r="CD65" s="3">
        <f t="shared" si="21"/>
        <v>342.5</v>
      </c>
      <c r="CE65" s="3">
        <f t="shared" si="21"/>
        <v>102.5</v>
      </c>
      <c r="CF65" s="3">
        <f t="shared" si="21"/>
        <v>422.5</v>
      </c>
      <c r="CG65" s="3">
        <f t="shared" si="21"/>
        <v>1395.25</v>
      </c>
      <c r="CH65" s="3">
        <f t="shared" si="21"/>
        <v>2512.5000000000005</v>
      </c>
      <c r="CI65" s="3">
        <f t="shared" si="21"/>
        <v>742.5</v>
      </c>
      <c r="CJ65" s="3">
        <f t="shared" si="21"/>
        <v>2001.25</v>
      </c>
      <c r="CK65" s="3">
        <f t="shared" si="21"/>
        <v>2442.5</v>
      </c>
      <c r="CL65" s="3">
        <f t="shared" si="21"/>
        <v>862.5</v>
      </c>
      <c r="CM65" s="3">
        <f t="shared" si="21"/>
        <v>606.25</v>
      </c>
      <c r="CN65" s="3">
        <f t="shared" si="21"/>
        <v>1402.5</v>
      </c>
      <c r="CO65" s="3">
        <f t="shared" si="21"/>
        <v>233.75</v>
      </c>
      <c r="CP65" s="3">
        <f t="shared" si="21"/>
        <v>992.5</v>
      </c>
      <c r="CQ65" s="3">
        <f t="shared" si="21"/>
        <v>8026.75</v>
      </c>
      <c r="CR65" s="3">
        <f t="shared" si="21"/>
        <v>5933.75</v>
      </c>
      <c r="CS65" s="3">
        <f t="shared" si="21"/>
        <v>3330.25</v>
      </c>
      <c r="CT65" s="3">
        <f t="shared" si="21"/>
        <v>747.75</v>
      </c>
      <c r="CU65" s="3">
        <f t="shared" si="21"/>
        <v>718.75</v>
      </c>
      <c r="CV65" s="3">
        <f t="shared" si="21"/>
        <v>3792.5</v>
      </c>
      <c r="CW65" s="3">
        <f t="shared" si="21"/>
        <v>3792.5</v>
      </c>
      <c r="CX65" s="3">
        <f t="shared" si="21"/>
        <v>13679</v>
      </c>
      <c r="CY65" s="3">
        <f t="shared" si="21"/>
        <v>473.75</v>
      </c>
      <c r="CZ65" s="3">
        <f t="shared" si="21"/>
        <v>3192.5</v>
      </c>
      <c r="DA65" s="3">
        <f t="shared" si="21"/>
        <v>3192.5</v>
      </c>
      <c r="DB65" s="3">
        <f t="shared" si="21"/>
        <v>823.75</v>
      </c>
      <c r="DC65" s="3">
        <f t="shared" si="21"/>
        <v>2308.75</v>
      </c>
      <c r="DD65" s="3">
        <f t="shared" si="21"/>
        <v>109.75</v>
      </c>
      <c r="DE65" s="3">
        <f t="shared" si="21"/>
        <v>292.5</v>
      </c>
      <c r="DF65" s="3">
        <f t="shared" si="21"/>
        <v>483.99999999999994</v>
      </c>
      <c r="DG65" s="3">
        <f t="shared" si="21"/>
        <v>483.99999999999994</v>
      </c>
      <c r="DH65" s="3">
        <f t="shared" si="21"/>
        <v>1352.5</v>
      </c>
      <c r="DI65" s="3">
        <f t="shared" si="21"/>
        <v>299.75</v>
      </c>
      <c r="DJ65" s="3">
        <f t="shared" si="21"/>
        <v>12111</v>
      </c>
      <c r="DK65" s="3">
        <f t="shared" si="21"/>
        <v>6308.75</v>
      </c>
    </row>
    <row r="66" spans="7:115" x14ac:dyDescent="0.35">
      <c r="G66" t="s">
        <v>69</v>
      </c>
      <c r="H66" s="49">
        <f t="shared" ref="H66:BS66" si="22">2*(H60+H57*H61)/( (H56-H55)*100*H57 )</f>
        <v>0.31428571428571433</v>
      </c>
      <c r="I66" s="49">
        <f t="shared" si="22"/>
        <v>0.11666666666666667</v>
      </c>
      <c r="J66" s="49">
        <f t="shared" si="22"/>
        <v>0.6999999999999994</v>
      </c>
      <c r="K66" s="49">
        <f t="shared" si="22"/>
        <v>0.35151515151515156</v>
      </c>
      <c r="L66" s="49">
        <f t="shared" si="22"/>
        <v>4.0909090909090902E-2</v>
      </c>
      <c r="M66" s="49">
        <f t="shared" si="22"/>
        <v>0.34117647058823541</v>
      </c>
      <c r="N66" s="49">
        <f t="shared" si="22"/>
        <v>0.21754385964912282</v>
      </c>
      <c r="O66" s="49">
        <f t="shared" si="22"/>
        <v>0.14736842105263157</v>
      </c>
      <c r="P66" s="49">
        <f t="shared" si="22"/>
        <v>0.15369458128078817</v>
      </c>
      <c r="Q66" s="49">
        <f t="shared" si="22"/>
        <v>0.13777777777777786</v>
      </c>
      <c r="R66" s="49">
        <f t="shared" si="22"/>
        <v>6.6666666666666666E-2</v>
      </c>
      <c r="S66" s="49">
        <f t="shared" si="22"/>
        <v>0.50769230769230722</v>
      </c>
      <c r="T66" s="49">
        <f t="shared" si="22"/>
        <v>0.10962962962962966</v>
      </c>
      <c r="U66" s="49">
        <f t="shared" si="22"/>
        <v>7.0748299319727911E-2</v>
      </c>
      <c r="V66" s="49">
        <f t="shared" si="22"/>
        <v>0.24347826086956523</v>
      </c>
      <c r="W66" s="49">
        <f t="shared" si="22"/>
        <v>5.0769230769230775E-2</v>
      </c>
      <c r="X66" s="49">
        <f t="shared" si="22"/>
        <v>0.43076923076923113</v>
      </c>
      <c r="Y66" s="49">
        <f t="shared" si="22"/>
        <v>0.15714285714285708</v>
      </c>
      <c r="Z66" s="49">
        <f t="shared" si="22"/>
        <v>0.12173913043478261</v>
      </c>
      <c r="AA66" s="49">
        <f t="shared" si="22"/>
        <v>0.14095238095238091</v>
      </c>
      <c r="AB66" s="49">
        <f t="shared" si="22"/>
        <v>0.29473684210526307</v>
      </c>
      <c r="AC66" s="49">
        <f t="shared" si="22"/>
        <v>0.2228571428571427</v>
      </c>
      <c r="AD66" s="49">
        <f t="shared" si="22"/>
        <v>0.55111111111111144</v>
      </c>
      <c r="AE66" s="49">
        <f t="shared" si="22"/>
        <v>6.4285714285714293E-2</v>
      </c>
      <c r="AF66" s="49">
        <f t="shared" si="22"/>
        <v>0.19378881987577631</v>
      </c>
      <c r="AG66" s="49">
        <f t="shared" si="22"/>
        <v>0.22000000000000011</v>
      </c>
      <c r="AH66" s="49">
        <f t="shared" si="22"/>
        <v>9.4736842105263161E-2</v>
      </c>
      <c r="AI66" s="49">
        <f t="shared" si="22"/>
        <v>0.24827586206896557</v>
      </c>
      <c r="AJ66" s="49">
        <f t="shared" si="22"/>
        <v>7.9999999999999918E-2</v>
      </c>
      <c r="AK66" s="49">
        <f t="shared" si="22"/>
        <v>0.6999999999999994</v>
      </c>
      <c r="AL66" s="49">
        <f t="shared" si="22"/>
        <v>1.6533333333333393</v>
      </c>
      <c r="AM66" s="49">
        <f t="shared" si="22"/>
        <v>0.25777777777777772</v>
      </c>
      <c r="AN66" s="49">
        <f t="shared" si="22"/>
        <v>0.33066666666666666</v>
      </c>
      <c r="AO66" s="49">
        <f t="shared" si="22"/>
        <v>1.9333333333333316</v>
      </c>
      <c r="AP66" s="49">
        <f t="shared" si="22"/>
        <v>0.82499999999999918</v>
      </c>
      <c r="AQ66" s="49">
        <f t="shared" si="22"/>
        <v>0.31111111111111123</v>
      </c>
      <c r="AR66" s="49">
        <f t="shared" si="22"/>
        <v>0.32222222222222235</v>
      </c>
      <c r="AS66" s="49">
        <f t="shared" si="22"/>
        <v>6.5091863517060367E-2</v>
      </c>
      <c r="AT66" s="49">
        <f t="shared" si="22"/>
        <v>0.23199999999999998</v>
      </c>
      <c r="AU66" s="49">
        <f t="shared" si="22"/>
        <v>0.31351351351351336</v>
      </c>
      <c r="AV66" s="49">
        <f t="shared" si="22"/>
        <v>0.82666666666666233</v>
      </c>
      <c r="AW66" s="49">
        <f t="shared" si="22"/>
        <v>0.16571428571428568</v>
      </c>
      <c r="AX66" s="49">
        <f t="shared" si="22"/>
        <v>8.4848484848484867E-2</v>
      </c>
      <c r="AY66" s="49">
        <f t="shared" si="22"/>
        <v>0.33066666666666666</v>
      </c>
      <c r="AZ66" s="49">
        <f t="shared" si="22"/>
        <v>0.23199999999999998</v>
      </c>
      <c r="BA66" s="49">
        <f t="shared" si="22"/>
        <v>0.37142857142857116</v>
      </c>
      <c r="BB66" s="49">
        <f t="shared" si="22"/>
        <v>0.11612903225806449</v>
      </c>
      <c r="BC66" s="49">
        <f t="shared" si="22"/>
        <v>1.100000000000003</v>
      </c>
      <c r="BD66" s="49">
        <f t="shared" si="22"/>
        <v>0.23199999999999998</v>
      </c>
      <c r="BE66" s="49">
        <f t="shared" si="22"/>
        <v>0.26976744186046503</v>
      </c>
      <c r="BF66" s="49">
        <f t="shared" si="22"/>
        <v>0.13333333333333339</v>
      </c>
      <c r="BG66" s="49">
        <f t="shared" si="22"/>
        <v>0.20000000000000015</v>
      </c>
      <c r="BH66" s="49">
        <f t="shared" si="22"/>
        <v>0.13846153846153847</v>
      </c>
      <c r="BI66" s="49">
        <f t="shared" si="22"/>
        <v>0.17368421052631572</v>
      </c>
      <c r="BJ66" s="49">
        <f t="shared" si="22"/>
        <v>0.26976744186046503</v>
      </c>
      <c r="BK66" s="49">
        <f t="shared" si="22"/>
        <v>0.19682539682539688</v>
      </c>
      <c r="BL66" s="49">
        <f t="shared" si="22"/>
        <v>0.23199999999999998</v>
      </c>
      <c r="BM66" s="49">
        <f t="shared" si="22"/>
        <v>0.17999999999999985</v>
      </c>
      <c r="BN66" s="49">
        <f t="shared" si="22"/>
        <v>0.24000000000000016</v>
      </c>
      <c r="BO66" s="49">
        <f t="shared" si="22"/>
        <v>8.3870967741935462E-2</v>
      </c>
      <c r="BP66" s="49">
        <f t="shared" si="22"/>
        <v>0.23225806451612913</v>
      </c>
      <c r="BQ66" s="49">
        <f t="shared" si="22"/>
        <v>0.9650793650793652</v>
      </c>
      <c r="BR66" s="49">
        <f t="shared" si="22"/>
        <v>0.90666666666666718</v>
      </c>
      <c r="BS66" s="49">
        <f t="shared" si="22"/>
        <v>0.53600000000000003</v>
      </c>
      <c r="BT66" s="49">
        <f t="shared" ref="BT66:DK66" si="23">2*(BT60+BT57*BT61)/( (BT56-BT55)*100*BT57 )</f>
        <v>0.26190476190476192</v>
      </c>
      <c r="BU66" s="49">
        <f t="shared" si="23"/>
        <v>1.227272727272726</v>
      </c>
      <c r="BV66" s="49">
        <f t="shared" si="23"/>
        <v>1.7833333333333292</v>
      </c>
      <c r="BW66" s="49">
        <f t="shared" si="23"/>
        <v>0.4458333333333333</v>
      </c>
      <c r="BX66" s="49">
        <f t="shared" si="23"/>
        <v>0.67500000000000004</v>
      </c>
      <c r="BY66" s="49">
        <f t="shared" si="23"/>
        <v>1.0083333333333324</v>
      </c>
      <c r="BZ66" s="49">
        <f t="shared" si="23"/>
        <v>8.7704918032786891E-2</v>
      </c>
      <c r="CA66" s="49">
        <f t="shared" si="23"/>
        <v>0.42105263157894735</v>
      </c>
      <c r="CB66" s="49">
        <f t="shared" si="23"/>
        <v>0.33437499999999998</v>
      </c>
      <c r="CC66" s="49">
        <f t="shared" si="23"/>
        <v>0.19454545454545455</v>
      </c>
      <c r="CD66" s="49">
        <f t="shared" si="23"/>
        <v>0.20238095238095238</v>
      </c>
      <c r="CE66" s="49">
        <f t="shared" si="23"/>
        <v>0.27419354838709675</v>
      </c>
      <c r="CF66" s="49">
        <f t="shared" si="23"/>
        <v>0.18888888888888891</v>
      </c>
      <c r="CG66" s="49">
        <f t="shared" si="23"/>
        <v>0.15512820512820516</v>
      </c>
      <c r="CH66" s="49">
        <f t="shared" si="23"/>
        <v>0.14655172413793113</v>
      </c>
      <c r="CI66" s="49">
        <f t="shared" si="23"/>
        <v>0.16037735849056603</v>
      </c>
      <c r="CJ66" s="49">
        <f t="shared" si="23"/>
        <v>0.7202380952380969</v>
      </c>
      <c r="CK66" s="49">
        <f t="shared" si="23"/>
        <v>0.14166666666666664</v>
      </c>
      <c r="CL66" s="49">
        <f t="shared" si="23"/>
        <v>0.40476190476190466</v>
      </c>
      <c r="CM66" s="49">
        <f t="shared" si="23"/>
        <v>0.2725225225225224</v>
      </c>
      <c r="CN66" s="49">
        <f t="shared" si="23"/>
        <v>0.21250000000000002</v>
      </c>
      <c r="CO66" s="49">
        <f t="shared" si="23"/>
        <v>0.30681818181818188</v>
      </c>
      <c r="CP66" s="49">
        <f t="shared" si="23"/>
        <v>0.34</v>
      </c>
      <c r="CQ66" s="49">
        <f t="shared" si="23"/>
        <v>0.17833333333333334</v>
      </c>
      <c r="CR66" s="49">
        <f t="shared" si="23"/>
        <v>0.11739130434782623</v>
      </c>
      <c r="CS66" s="49">
        <f t="shared" si="23"/>
        <v>0.20166666666666666</v>
      </c>
      <c r="CT66" s="49">
        <f t="shared" si="23"/>
        <v>0.2988826815642458</v>
      </c>
      <c r="CU66" s="49">
        <f t="shared" si="23"/>
        <v>0.13442211055276379</v>
      </c>
      <c r="CV66" s="49">
        <f t="shared" si="23"/>
        <v>0.14166666666666675</v>
      </c>
      <c r="CW66" s="49">
        <f t="shared" si="23"/>
        <v>4.5945945945945948E-2</v>
      </c>
      <c r="CX66" s="49">
        <f t="shared" si="23"/>
        <v>0.39</v>
      </c>
      <c r="CY66" s="49">
        <f t="shared" si="23"/>
        <v>0.21146245059288535</v>
      </c>
      <c r="CZ66" s="49">
        <f t="shared" si="23"/>
        <v>0.21250000000000002</v>
      </c>
      <c r="DA66" s="49">
        <f t="shared" si="23"/>
        <v>0.21250000000000002</v>
      </c>
      <c r="DB66" s="49">
        <f t="shared" si="23"/>
        <v>0.13235294117647059</v>
      </c>
      <c r="DC66" s="49">
        <f t="shared" si="23"/>
        <v>0.45000000000000023</v>
      </c>
      <c r="DD66" s="49">
        <f t="shared" si="23"/>
        <v>0.51941747572815522</v>
      </c>
      <c r="DE66" s="49">
        <f t="shared" si="23"/>
        <v>0.22972972972972974</v>
      </c>
      <c r="DF66" s="49">
        <f t="shared" si="23"/>
        <v>-0.14159292035398233</v>
      </c>
      <c r="DG66" s="49">
        <f t="shared" si="23"/>
        <v>0.1951219512195122</v>
      </c>
      <c r="DH66" s="49">
        <f t="shared" si="23"/>
        <v>0.17</v>
      </c>
      <c r="DI66" s="49">
        <f t="shared" si="23"/>
        <v>1.7833333333333343</v>
      </c>
      <c r="DJ66" s="49">
        <f t="shared" si="23"/>
        <v>8.7837837837837884E-2</v>
      </c>
      <c r="DK66" s="49">
        <f t="shared" si="23"/>
        <v>0.30000000000000043</v>
      </c>
    </row>
    <row r="67" spans="7:115" x14ac:dyDescent="0.35">
      <c r="G67" t="s">
        <v>248</v>
      </c>
      <c r="H67" s="3">
        <f t="shared" ref="H67:BS67" si="24">(H56-H55)*100*H57-2*(H60+H57*H61)</f>
        <v>57.599999999999987</v>
      </c>
      <c r="I67" s="3">
        <f t="shared" si="24"/>
        <v>212</v>
      </c>
      <c r="J67" s="3">
        <f t="shared" si="24"/>
        <v>12.000000000000036</v>
      </c>
      <c r="K67" s="3">
        <f t="shared" si="24"/>
        <v>42.799999999999983</v>
      </c>
      <c r="L67" s="3">
        <f t="shared" si="24"/>
        <v>844.00000000000011</v>
      </c>
      <c r="M67" s="3">
        <f t="shared" si="24"/>
        <v>44.799999999999969</v>
      </c>
      <c r="N67" s="3">
        <f t="shared" si="24"/>
        <v>89.2</v>
      </c>
      <c r="O67" s="3">
        <f t="shared" si="24"/>
        <v>162</v>
      </c>
      <c r="P67" s="3">
        <f t="shared" si="24"/>
        <v>171.8</v>
      </c>
      <c r="Q67" s="3">
        <f t="shared" si="24"/>
        <v>155.19999999999987</v>
      </c>
      <c r="R67" s="3">
        <f t="shared" si="24"/>
        <v>369.6</v>
      </c>
      <c r="S67" s="3">
        <f t="shared" si="24"/>
        <v>25.600000000000044</v>
      </c>
      <c r="T67" s="3">
        <f t="shared" si="24"/>
        <v>240.39999999999995</v>
      </c>
      <c r="U67" s="3">
        <f t="shared" si="24"/>
        <v>409.7999999999999</v>
      </c>
      <c r="V67" s="3">
        <f t="shared" si="24"/>
        <v>87</v>
      </c>
      <c r="W67" s="3">
        <f t="shared" si="24"/>
        <v>493.59999999999991</v>
      </c>
      <c r="X67" s="3">
        <f t="shared" si="24"/>
        <v>36.999999999999943</v>
      </c>
      <c r="Y67" s="3">
        <f t="shared" si="24"/>
        <v>141.60000000000005</v>
      </c>
      <c r="Z67" s="3">
        <f t="shared" si="24"/>
        <v>202</v>
      </c>
      <c r="AA67" s="3">
        <f t="shared" si="24"/>
        <v>180.40000000000006</v>
      </c>
      <c r="AB67" s="3">
        <f t="shared" si="24"/>
        <v>67.000000000000028</v>
      </c>
      <c r="AC67" s="3">
        <f t="shared" si="24"/>
        <v>108.80000000000011</v>
      </c>
      <c r="AD67" s="3">
        <f t="shared" si="24"/>
        <v>20.199999999999971</v>
      </c>
      <c r="AE67" s="3">
        <f t="shared" si="24"/>
        <v>523.99999999999989</v>
      </c>
      <c r="AF67" s="3">
        <f t="shared" si="24"/>
        <v>129.80000000000007</v>
      </c>
      <c r="AG67" s="3">
        <f t="shared" si="24"/>
        <v>93.599999999999937</v>
      </c>
      <c r="AH67" s="3">
        <f t="shared" si="24"/>
        <v>344</v>
      </c>
      <c r="AI67" s="3">
        <f t="shared" si="24"/>
        <v>65.399999999999977</v>
      </c>
      <c r="AJ67" s="3">
        <f t="shared" si="24"/>
        <v>248.40000000000029</v>
      </c>
      <c r="AK67" s="3">
        <f t="shared" si="24"/>
        <v>12.000000000000036</v>
      </c>
      <c r="AL67" s="3">
        <f t="shared" si="24"/>
        <v>-9.800000000000054</v>
      </c>
      <c r="AM67" s="3">
        <f t="shared" si="24"/>
        <v>66.800000000000011</v>
      </c>
      <c r="AN67" s="3">
        <f t="shared" si="24"/>
        <v>50.2</v>
      </c>
      <c r="AO67" s="3">
        <f t="shared" si="24"/>
        <v>-11.199999999999989</v>
      </c>
      <c r="AP67" s="3">
        <f t="shared" si="24"/>
        <v>5.6000000000000298</v>
      </c>
      <c r="AQ67" s="3">
        <f t="shared" si="24"/>
        <v>61.999999999999972</v>
      </c>
      <c r="AR67" s="3">
        <f t="shared" si="24"/>
        <v>48.799999999999969</v>
      </c>
      <c r="AS67" s="3">
        <f t="shared" si="24"/>
        <v>356.2</v>
      </c>
      <c r="AT67" s="3">
        <f t="shared" si="24"/>
        <v>76.8</v>
      </c>
      <c r="AU67" s="3">
        <f t="shared" si="24"/>
        <v>50.800000000000026</v>
      </c>
      <c r="AV67" s="3">
        <f t="shared" si="24"/>
        <v>5.2000000000001592</v>
      </c>
      <c r="AW67" s="3">
        <f t="shared" si="24"/>
        <v>116.80000000000003</v>
      </c>
      <c r="AX67" s="3">
        <f t="shared" si="24"/>
        <v>301.99999999999994</v>
      </c>
      <c r="AY67" s="3">
        <f t="shared" si="24"/>
        <v>50.2</v>
      </c>
      <c r="AZ67" s="3">
        <f t="shared" si="24"/>
        <v>76.8</v>
      </c>
      <c r="BA67" s="3">
        <f t="shared" si="24"/>
        <v>52.800000000000068</v>
      </c>
      <c r="BB67" s="3">
        <f t="shared" si="24"/>
        <v>274.00000000000006</v>
      </c>
      <c r="BC67" s="3">
        <f t="shared" si="24"/>
        <v>-2.4000000000000661</v>
      </c>
      <c r="BD67" s="3">
        <f t="shared" si="24"/>
        <v>76.8</v>
      </c>
      <c r="BE67" s="3">
        <f t="shared" si="24"/>
        <v>62.800000000000026</v>
      </c>
      <c r="BF67" s="3">
        <f t="shared" si="24"/>
        <v>233.99999999999989</v>
      </c>
      <c r="BG67" s="3">
        <f t="shared" si="24"/>
        <v>111.99999999999989</v>
      </c>
      <c r="BH67" s="3">
        <f t="shared" si="24"/>
        <v>224</v>
      </c>
      <c r="BI67" s="3">
        <f t="shared" si="24"/>
        <v>125.60000000000005</v>
      </c>
      <c r="BJ67" s="3">
        <f t="shared" si="24"/>
        <v>62.800000000000026</v>
      </c>
      <c r="BK67" s="3">
        <f t="shared" si="24"/>
        <v>101.19999999999997</v>
      </c>
      <c r="BL67" s="3">
        <f t="shared" si="24"/>
        <v>76.8</v>
      </c>
      <c r="BM67" s="3">
        <f t="shared" si="24"/>
        <v>164.00000000000017</v>
      </c>
      <c r="BN67" s="3">
        <f t="shared" si="24"/>
        <v>68.399999999999949</v>
      </c>
      <c r="BO67" s="3">
        <f t="shared" si="24"/>
        <v>284.00000000000006</v>
      </c>
      <c r="BP67" s="3">
        <f t="shared" si="24"/>
        <v>71.399999999999977</v>
      </c>
      <c r="BQ67" s="3">
        <f t="shared" si="24"/>
        <v>2.1999999999999886</v>
      </c>
      <c r="BR67" s="3">
        <f t="shared" si="24"/>
        <v>6.9999999999999574</v>
      </c>
      <c r="BS67" s="3">
        <f t="shared" si="24"/>
        <v>46.4</v>
      </c>
      <c r="BT67" s="3">
        <f t="shared" ref="BT67:DK67" si="25">(BT56-BT55)*100*BT57-2*(BT60+BT57*BT61)</f>
        <v>170.5</v>
      </c>
      <c r="BU67" s="3">
        <f t="shared" si="25"/>
        <v>-12.499999999999943</v>
      </c>
      <c r="BV67" s="3">
        <f t="shared" si="25"/>
        <v>-23.499999999999929</v>
      </c>
      <c r="BW67" s="3">
        <f t="shared" si="25"/>
        <v>66.500000000000014</v>
      </c>
      <c r="BX67" s="3">
        <f t="shared" si="25"/>
        <v>32.499999999999986</v>
      </c>
      <c r="BY67" s="3">
        <f t="shared" si="25"/>
        <v>-0.49999999999994316</v>
      </c>
      <c r="BZ67" s="3">
        <f t="shared" si="25"/>
        <v>556.5</v>
      </c>
      <c r="CA67" s="3">
        <f t="shared" si="25"/>
        <v>88</v>
      </c>
      <c r="CB67" s="3">
        <f t="shared" si="25"/>
        <v>106.5</v>
      </c>
      <c r="CC67" s="3">
        <f t="shared" si="25"/>
        <v>221.5</v>
      </c>
      <c r="CD67" s="3">
        <f t="shared" si="25"/>
        <v>335</v>
      </c>
      <c r="CE67" s="3">
        <f t="shared" si="25"/>
        <v>225</v>
      </c>
      <c r="CF67" s="3">
        <f t="shared" si="25"/>
        <v>364.99999999999994</v>
      </c>
      <c r="CG67" s="3">
        <f t="shared" si="25"/>
        <v>329.49999999999989</v>
      </c>
      <c r="CH67" s="3">
        <f t="shared" si="25"/>
        <v>494.99999999999966</v>
      </c>
      <c r="CI67" s="3">
        <f t="shared" si="25"/>
        <v>445</v>
      </c>
      <c r="CJ67" s="3">
        <f t="shared" si="25"/>
        <v>23.499999999999801</v>
      </c>
      <c r="CK67" s="3">
        <f t="shared" si="25"/>
        <v>515.00000000000011</v>
      </c>
      <c r="CL67" s="3">
        <f t="shared" si="25"/>
        <v>125.00000000000006</v>
      </c>
      <c r="CM67" s="3">
        <f t="shared" si="25"/>
        <v>161.50000000000009</v>
      </c>
      <c r="CN67" s="3">
        <f t="shared" si="25"/>
        <v>314.99999999999994</v>
      </c>
      <c r="CO67" s="3">
        <f t="shared" si="25"/>
        <v>152.49999999999997</v>
      </c>
      <c r="CP67" s="3">
        <f t="shared" si="25"/>
        <v>165</v>
      </c>
      <c r="CQ67" s="3">
        <f t="shared" si="25"/>
        <v>246.5</v>
      </c>
      <c r="CR67" s="3">
        <f t="shared" si="25"/>
        <v>507.49999999999932</v>
      </c>
      <c r="CS67" s="3">
        <f t="shared" si="25"/>
        <v>239.5</v>
      </c>
      <c r="CT67" s="3">
        <f t="shared" si="25"/>
        <v>125.5</v>
      </c>
      <c r="CU67" s="3">
        <f t="shared" si="25"/>
        <v>344.50000000000006</v>
      </c>
      <c r="CV67" s="3">
        <f t="shared" si="25"/>
        <v>514.99999999999966</v>
      </c>
      <c r="CW67" s="3">
        <f t="shared" si="25"/>
        <v>1764.9999999999998</v>
      </c>
      <c r="CX67" s="3">
        <f t="shared" si="25"/>
        <v>122</v>
      </c>
      <c r="CY67" s="3">
        <f t="shared" si="25"/>
        <v>199.50000000000003</v>
      </c>
      <c r="CZ67" s="3">
        <f t="shared" si="25"/>
        <v>314.99999999999994</v>
      </c>
      <c r="DA67" s="3">
        <f t="shared" si="25"/>
        <v>314.99999999999994</v>
      </c>
      <c r="DB67" s="3">
        <f t="shared" si="25"/>
        <v>442.5</v>
      </c>
      <c r="DC67" s="3">
        <f t="shared" si="25"/>
        <v>82.499999999999915</v>
      </c>
      <c r="DD67" s="3">
        <f t="shared" si="25"/>
        <v>49.500000000000028</v>
      </c>
      <c r="DE67" s="3">
        <f t="shared" si="25"/>
        <v>285</v>
      </c>
      <c r="DF67" s="3">
        <f t="shared" si="25"/>
        <v>-516</v>
      </c>
      <c r="DG67" s="3">
        <f t="shared" si="25"/>
        <v>264</v>
      </c>
      <c r="DH67" s="3">
        <f t="shared" si="25"/>
        <v>415</v>
      </c>
      <c r="DI67" s="3">
        <f t="shared" si="25"/>
        <v>-23.500000000000018</v>
      </c>
      <c r="DJ67" s="3">
        <f t="shared" si="25"/>
        <v>809.99999999999955</v>
      </c>
      <c r="DK67" s="3">
        <f t="shared" si="25"/>
        <v>157.49999999999966</v>
      </c>
    </row>
    <row r="68" spans="7:115" x14ac:dyDescent="0.35">
      <c r="G68" t="s">
        <v>319</v>
      </c>
      <c r="H68" s="8">
        <f t="shared" ref="H68:BS68" si="26">H67/H64*(50/H62)</f>
        <v>5.9016393442622939E-2</v>
      </c>
      <c r="I68" s="8">
        <f t="shared" si="26"/>
        <v>0.44166666666666671</v>
      </c>
      <c r="J68" s="8">
        <f t="shared" si="26"/>
        <v>2.1621621621621689E-2</v>
      </c>
      <c r="K68" s="8">
        <f t="shared" si="26"/>
        <v>0.11145833333333328</v>
      </c>
      <c r="L68" s="8">
        <f t="shared" si="26"/>
        <v>0.45376344086021519</v>
      </c>
      <c r="M68" s="8">
        <f t="shared" si="26"/>
        <v>9.7391304347826026E-3</v>
      </c>
      <c r="N68" s="8">
        <f t="shared" si="26"/>
        <v>0.19059829059829062</v>
      </c>
      <c r="O68" s="8">
        <f t="shared" si="26"/>
        <v>0.27</v>
      </c>
      <c r="P68" s="8">
        <f t="shared" si="26"/>
        <v>7.2397808680994519E-2</v>
      </c>
      <c r="Q68" s="8">
        <f t="shared" si="26"/>
        <v>7.4329501915708765E-2</v>
      </c>
      <c r="R68" s="8">
        <f t="shared" si="26"/>
        <v>0.22481751824817522</v>
      </c>
      <c r="S68" s="8">
        <f t="shared" si="26"/>
        <v>3.4408602150537697E-2</v>
      </c>
      <c r="T68" s="8">
        <f t="shared" si="26"/>
        <v>0.16155913978494618</v>
      </c>
      <c r="U68" s="8">
        <f t="shared" si="26"/>
        <v>0.13067602040816323</v>
      </c>
      <c r="V68" s="8">
        <f t="shared" si="26"/>
        <v>0.14499999999999999</v>
      </c>
      <c r="W68" s="8">
        <f t="shared" si="26"/>
        <v>0.10114754098360654</v>
      </c>
      <c r="X68" s="8">
        <f t="shared" si="26"/>
        <v>6.4912280701754296E-2</v>
      </c>
      <c r="Y68" s="8">
        <f t="shared" si="26"/>
        <v>0.19032258064516136</v>
      </c>
      <c r="Z68" s="8">
        <f t="shared" si="26"/>
        <v>0.33666666666666667</v>
      </c>
      <c r="AA68" s="8">
        <f t="shared" si="26"/>
        <v>0.24247311827956999</v>
      </c>
      <c r="AB68" s="8">
        <f t="shared" si="26"/>
        <v>9.0540540540540587E-2</v>
      </c>
      <c r="AC68" s="8">
        <f t="shared" si="26"/>
        <v>2.5396825396825425E-2</v>
      </c>
      <c r="AD68" s="8">
        <f t="shared" si="26"/>
        <v>4.007936507936502E-2</v>
      </c>
      <c r="AE68" s="8">
        <f t="shared" si="26"/>
        <v>0.42258064516129018</v>
      </c>
      <c r="AF68" s="8">
        <f t="shared" si="26"/>
        <v>5.5187074829932008E-2</v>
      </c>
      <c r="AG68" s="8">
        <f t="shared" si="26"/>
        <v>1.5853658536585356E-2</v>
      </c>
      <c r="AH68" s="8">
        <f t="shared" si="26"/>
        <v>0.55483870967741933</v>
      </c>
      <c r="AI68" s="8">
        <f t="shared" si="26"/>
        <v>9.2112676056337994E-2</v>
      </c>
      <c r="AJ68" s="8">
        <f t="shared" si="26"/>
        <v>2.8951048951048986E-2</v>
      </c>
      <c r="AK68" s="8">
        <f t="shared" si="26"/>
        <v>1.0526315789473715E-2</v>
      </c>
      <c r="AL68" s="8">
        <f t="shared" si="26"/>
        <v>-9.4961240310078038E-3</v>
      </c>
      <c r="AM68" s="8">
        <f t="shared" si="26"/>
        <v>8.6979166666666677E-2</v>
      </c>
      <c r="AN68" s="8">
        <f t="shared" si="26"/>
        <v>3.9465408805031445E-2</v>
      </c>
      <c r="AO68" s="8">
        <f t="shared" si="26"/>
        <v>-6.5116279069767372E-2</v>
      </c>
      <c r="AP68" s="8">
        <f t="shared" si="26"/>
        <v>2.8225806451613053E-3</v>
      </c>
      <c r="AQ68" s="8">
        <f t="shared" si="26"/>
        <v>0.15499999999999992</v>
      </c>
      <c r="AR68" s="8">
        <f t="shared" si="26"/>
        <v>0.11090909090909083</v>
      </c>
      <c r="AS68" s="8">
        <f t="shared" si="26"/>
        <v>4.3019323671497585E-2</v>
      </c>
      <c r="AT68" s="8">
        <f t="shared" si="26"/>
        <v>3.5555555555555562E-2</v>
      </c>
      <c r="AU68" s="8">
        <f t="shared" si="26"/>
        <v>0.23090909090909104</v>
      </c>
      <c r="AV68" s="8">
        <f t="shared" si="26"/>
        <v>3.8348082595871377E-3</v>
      </c>
      <c r="AW68" s="8">
        <f t="shared" si="26"/>
        <v>0.12695652173913047</v>
      </c>
      <c r="AX68" s="8">
        <f t="shared" si="26"/>
        <v>1.5099999999999998</v>
      </c>
      <c r="AY68" s="8">
        <f t="shared" si="26"/>
        <v>3.9465408805031445E-2</v>
      </c>
      <c r="AZ68" s="8">
        <f t="shared" si="26"/>
        <v>0.16551724137931034</v>
      </c>
      <c r="BA68" s="8">
        <f t="shared" si="26"/>
        <v>1.8131868131868154E-2</v>
      </c>
      <c r="BB68" s="8">
        <f t="shared" si="26"/>
        <v>0.15480225988700569</v>
      </c>
      <c r="BC68" s="8">
        <f t="shared" si="26"/>
        <v>-2.7272727272728025E-3</v>
      </c>
      <c r="BD68" s="8">
        <f t="shared" si="26"/>
        <v>0.21333333333333335</v>
      </c>
      <c r="BE68" s="8">
        <f t="shared" si="26"/>
        <v>7.1201814058956939E-2</v>
      </c>
      <c r="BF68" s="8">
        <f t="shared" si="26"/>
        <v>0.22075471698113197</v>
      </c>
      <c r="BG68" s="8">
        <f t="shared" si="26"/>
        <v>0.18666666666666651</v>
      </c>
      <c r="BH68" s="8">
        <f t="shared" si="26"/>
        <v>9.3333333333333338E-2</v>
      </c>
      <c r="BI68" s="8">
        <f t="shared" si="26"/>
        <v>7.1363636363636393E-2</v>
      </c>
      <c r="BJ68" s="8">
        <f t="shared" si="26"/>
        <v>0.10608108108108112</v>
      </c>
      <c r="BK68" s="8">
        <f t="shared" si="26"/>
        <v>5.3544973544973534E-2</v>
      </c>
      <c r="BL68" s="8">
        <f t="shared" si="26"/>
        <v>0.2577181208053691</v>
      </c>
      <c r="BM68" s="8">
        <f t="shared" si="26"/>
        <v>0.13666666666666683</v>
      </c>
      <c r="BN68" s="8">
        <f t="shared" si="26"/>
        <v>4.4705882352941144E-2</v>
      </c>
      <c r="BO68" s="8">
        <f t="shared" si="26"/>
        <v>0.10518518518518521</v>
      </c>
      <c r="BP68" s="8">
        <f t="shared" si="26"/>
        <v>9.6486486486486462E-3</v>
      </c>
      <c r="BQ68" s="8">
        <f t="shared" si="26"/>
        <v>1.9503546099290678E-3</v>
      </c>
      <c r="BR68" s="8">
        <f t="shared" si="26"/>
        <v>2.0833333333333207E-3</v>
      </c>
      <c r="BS68" s="8">
        <f t="shared" si="26"/>
        <v>3.4498141263940518E-2</v>
      </c>
      <c r="BT68" s="8">
        <f t="shared" ref="BT68:DK68" si="27">BT67/BT64*(50/BT62)</f>
        <v>0.31399631675874767</v>
      </c>
      <c r="BU68" s="8">
        <f t="shared" si="27"/>
        <v>-1.0775862068965468E-2</v>
      </c>
      <c r="BV68" s="8">
        <f t="shared" si="27"/>
        <v>-4.5192307692307554E-3</v>
      </c>
      <c r="BW68" s="8">
        <f t="shared" si="27"/>
        <v>6.2033582089552255E-3</v>
      </c>
      <c r="BX68" s="8">
        <f t="shared" si="27"/>
        <v>9.5029239766081831E-3</v>
      </c>
      <c r="BY68" s="8">
        <f t="shared" si="27"/>
        <v>-1.4318442153492074E-4</v>
      </c>
      <c r="BZ68" s="8">
        <f t="shared" si="27"/>
        <v>0.48815789473684207</v>
      </c>
      <c r="CA68" s="8">
        <f t="shared" si="27"/>
        <v>0.18965517241379309</v>
      </c>
      <c r="CB68" s="8">
        <f t="shared" si="27"/>
        <v>8.9873417721518994E-2</v>
      </c>
      <c r="CC68" s="8">
        <f t="shared" si="27"/>
        <v>-1.861344537815126E-2</v>
      </c>
      <c r="CD68" s="8">
        <f t="shared" si="27"/>
        <v>0.15952380952380954</v>
      </c>
      <c r="CE68" s="8">
        <f t="shared" si="27"/>
        <v>0.10613207547169812</v>
      </c>
      <c r="CF68" s="8">
        <f t="shared" si="27"/>
        <v>0.17718446601941745</v>
      </c>
      <c r="CG68" s="8">
        <f t="shared" si="27"/>
        <v>1.6199606686332347E-2</v>
      </c>
      <c r="CH68" s="8">
        <f t="shared" si="27"/>
        <v>8.1414473684210467E-2</v>
      </c>
      <c r="CI68" s="8">
        <f t="shared" si="27"/>
        <v>0.22474747474747475</v>
      </c>
      <c r="CJ68" s="8">
        <f t="shared" si="27"/>
        <v>-1.6737891737891597E-3</v>
      </c>
      <c r="CK68" s="8">
        <f t="shared" si="27"/>
        <v>7.529239766081873E-2</v>
      </c>
      <c r="CL68" s="8">
        <f t="shared" si="27"/>
        <v>6.5789473684210564E-2</v>
      </c>
      <c r="CM68" s="8">
        <f t="shared" si="27"/>
        <v>2.9775073746312702E-2</v>
      </c>
      <c r="CN68" s="8">
        <f t="shared" si="27"/>
        <v>9.3749999999999986E-2</v>
      </c>
      <c r="CO68" s="8">
        <f t="shared" si="27"/>
        <v>9.0773809523809521E-2</v>
      </c>
      <c r="CP68" s="8">
        <f t="shared" si="27"/>
        <v>0.1170212765957447</v>
      </c>
      <c r="CQ68" s="8">
        <f t="shared" si="27"/>
        <v>1.0444915254237288E-2</v>
      </c>
      <c r="CR68" s="8">
        <f t="shared" si="27"/>
        <v>2.0299999999999974E-2</v>
      </c>
      <c r="CS68" s="8">
        <f t="shared" si="27"/>
        <v>1.7261261261261263E-2</v>
      </c>
      <c r="CT68" s="8">
        <f t="shared" si="27"/>
        <v>2.8265765765765765E-2</v>
      </c>
      <c r="CU68" s="8">
        <f t="shared" si="27"/>
        <v>7.5548245614035114E-2</v>
      </c>
      <c r="CV68" s="8">
        <f t="shared" si="27"/>
        <v>3.4797297297297275E-2</v>
      </c>
      <c r="CW68" s="8">
        <f t="shared" si="27"/>
        <v>7.9504504504504497E-2</v>
      </c>
      <c r="CX68" s="8">
        <f t="shared" si="27"/>
        <v>1.4523809523809524E-3</v>
      </c>
      <c r="CY68" s="8">
        <f t="shared" si="27"/>
        <v>4.7727272727272736E-2</v>
      </c>
      <c r="CZ68" s="8">
        <f t="shared" si="27"/>
        <v>3.3157894736842101E-2</v>
      </c>
      <c r="DA68" s="8">
        <f t="shared" si="27"/>
        <v>3.3157894736842101E-2</v>
      </c>
      <c r="DB68" s="8">
        <f t="shared" si="27"/>
        <v>0.13409090909090909</v>
      </c>
      <c r="DC68" s="8">
        <f t="shared" si="27"/>
        <v>2.4336283185840683E-2</v>
      </c>
      <c r="DD68" s="8">
        <f t="shared" si="27"/>
        <v>1.875000000000001E-2</v>
      </c>
      <c r="DE68" s="8">
        <f t="shared" si="27"/>
        <v>0.13970588235294118</v>
      </c>
      <c r="DF68" s="8">
        <f t="shared" si="27"/>
        <v>-8.9583333333333334E-2</v>
      </c>
      <c r="DG68" s="8">
        <f t="shared" si="27"/>
        <v>4.5833333333333337E-2</v>
      </c>
      <c r="DH68" s="8">
        <f t="shared" si="27"/>
        <v>0.10375</v>
      </c>
      <c r="DI68" s="8">
        <f t="shared" si="27"/>
        <v>-1.5460526315789485E-2</v>
      </c>
      <c r="DJ68" s="8">
        <f t="shared" si="27"/>
        <v>1.8409090909090899E-2</v>
      </c>
      <c r="DK68" s="8">
        <f t="shared" si="27"/>
        <v>5.7272727272727145E-3</v>
      </c>
    </row>
    <row r="70" spans="7:115" x14ac:dyDescent="0.35">
      <c r="G70" s="29"/>
      <c r="H70" s="28">
        <f>SUMPRODUCT(I64:DK64,I68:DK68,I62:DK62)/SUMPRODUCT(I64:DK64,I62:DK62)</f>
        <v>4.2217804358743428E-2</v>
      </c>
      <c r="K70" s="30"/>
    </row>
    <row r="72" spans="7:115" ht="18.5" x14ac:dyDescent="0.45">
      <c r="G72" s="1" t="s">
        <v>327</v>
      </c>
    </row>
    <row r="73" spans="7:115" x14ac:dyDescent="0.35">
      <c r="G73" t="s">
        <v>328</v>
      </c>
      <c r="H73" s="192" t="s">
        <v>366</v>
      </c>
      <c r="I73" s="192" t="s">
        <v>1</v>
      </c>
      <c r="J73" s="192" t="s">
        <v>368</v>
      </c>
      <c r="K73" s="192" t="s">
        <v>184</v>
      </c>
      <c r="L73" s="192" t="s">
        <v>184</v>
      </c>
      <c r="M73" s="192" t="s">
        <v>184</v>
      </c>
      <c r="N73" s="192" t="s">
        <v>1</v>
      </c>
      <c r="O73" s="192" t="s">
        <v>1</v>
      </c>
      <c r="P73" s="192" t="s">
        <v>184</v>
      </c>
      <c r="Q73" s="192" t="s">
        <v>93</v>
      </c>
      <c r="R73" s="192" t="s">
        <v>0</v>
      </c>
      <c r="S73" s="192" t="s">
        <v>366</v>
      </c>
      <c r="T73" s="192" t="s">
        <v>93</v>
      </c>
      <c r="U73" s="192" t="s">
        <v>343</v>
      </c>
      <c r="V73" s="192" t="s">
        <v>181</v>
      </c>
      <c r="W73" s="192" t="s">
        <v>93</v>
      </c>
      <c r="X73" s="192" t="s">
        <v>87</v>
      </c>
      <c r="Y73" s="192" t="s">
        <v>1</v>
      </c>
      <c r="Z73" s="192" t="s">
        <v>0</v>
      </c>
      <c r="AA73" s="192" t="s">
        <v>1</v>
      </c>
      <c r="AB73" s="192" t="s">
        <v>93</v>
      </c>
      <c r="AC73" s="192" t="s">
        <v>1</v>
      </c>
      <c r="AD73" s="192" t="s">
        <v>1</v>
      </c>
      <c r="AE73" s="192" t="s">
        <v>1</v>
      </c>
      <c r="AF73" s="192" t="s">
        <v>87</v>
      </c>
      <c r="AG73" s="192" t="s">
        <v>87</v>
      </c>
      <c r="AH73" s="192" t="s">
        <v>1</v>
      </c>
      <c r="AI73" s="192" t="s">
        <v>1</v>
      </c>
      <c r="AJ73" s="192" t="s">
        <v>1</v>
      </c>
      <c r="AK73" s="192" t="s">
        <v>1</v>
      </c>
      <c r="AL73" s="192" t="s">
        <v>1</v>
      </c>
      <c r="AM73" s="192" t="s">
        <v>33</v>
      </c>
      <c r="AN73" s="192" t="s">
        <v>33</v>
      </c>
    </row>
    <row r="74" spans="7:115" x14ac:dyDescent="0.35">
      <c r="G74" t="s">
        <v>329</v>
      </c>
      <c r="H74" s="3">
        <v>4.7</v>
      </c>
      <c r="I74" s="3">
        <v>6.8</v>
      </c>
      <c r="J74" s="3">
        <v>19.7</v>
      </c>
      <c r="K74" s="3">
        <v>1.74</v>
      </c>
      <c r="L74" s="3">
        <v>1.74</v>
      </c>
      <c r="M74" s="3">
        <v>1.52</v>
      </c>
      <c r="N74" s="3">
        <v>2.85</v>
      </c>
      <c r="O74" s="3">
        <v>3.35</v>
      </c>
      <c r="P74" s="3">
        <v>1.29</v>
      </c>
      <c r="Q74" s="3">
        <v>1.4</v>
      </c>
      <c r="R74" s="3">
        <v>0.35</v>
      </c>
      <c r="S74" s="3">
        <v>0.97</v>
      </c>
      <c r="T74" s="3">
        <v>0.27</v>
      </c>
      <c r="U74" s="3">
        <v>0.62</v>
      </c>
      <c r="V74" s="3">
        <v>1.8</v>
      </c>
      <c r="W74" s="3">
        <v>1.64</v>
      </c>
      <c r="X74" s="3">
        <v>2</v>
      </c>
      <c r="Y74" s="3">
        <v>8.0500000000000007</v>
      </c>
      <c r="Z74" s="3">
        <v>4.13</v>
      </c>
      <c r="AA74" s="3">
        <v>0.93</v>
      </c>
      <c r="AB74" s="3">
        <v>0.17</v>
      </c>
      <c r="AC74" s="3">
        <v>0.33</v>
      </c>
      <c r="AD74" s="3">
        <v>0.65</v>
      </c>
      <c r="AE74" s="3">
        <v>7.7</v>
      </c>
      <c r="AF74" s="3">
        <v>50.3</v>
      </c>
      <c r="AG74" s="3">
        <v>50</v>
      </c>
      <c r="AH74" s="3">
        <v>5.4</v>
      </c>
      <c r="AI74" s="3">
        <v>4.9000000000000004</v>
      </c>
      <c r="AJ74" s="3">
        <v>4.75</v>
      </c>
      <c r="AK74" s="3">
        <v>4.75</v>
      </c>
      <c r="AL74" s="3">
        <v>4.75</v>
      </c>
      <c r="AM74" s="3">
        <v>0.18</v>
      </c>
      <c r="AN74" s="3">
        <v>0.18</v>
      </c>
    </row>
    <row r="75" spans="7:115" x14ac:dyDescent="0.35">
      <c r="G75" t="s">
        <v>246</v>
      </c>
      <c r="H75" s="192">
        <v>7</v>
      </c>
      <c r="I75" s="192">
        <v>2</v>
      </c>
      <c r="J75" s="192">
        <v>1</v>
      </c>
      <c r="K75" s="192">
        <v>10</v>
      </c>
      <c r="L75" s="192">
        <v>10</v>
      </c>
      <c r="M75" s="192">
        <v>10</v>
      </c>
      <c r="N75" s="192">
        <v>3</v>
      </c>
      <c r="O75" s="192">
        <v>3</v>
      </c>
      <c r="P75" s="192">
        <v>10</v>
      </c>
      <c r="Q75" s="192">
        <v>4</v>
      </c>
      <c r="R75" s="192">
        <v>3</v>
      </c>
      <c r="S75" s="192">
        <v>10</v>
      </c>
      <c r="T75" s="192">
        <v>6</v>
      </c>
      <c r="U75" s="192">
        <v>3</v>
      </c>
      <c r="V75" s="192">
        <v>3</v>
      </c>
      <c r="W75" s="192">
        <v>7</v>
      </c>
      <c r="X75" s="192">
        <v>1</v>
      </c>
      <c r="Y75" s="192">
        <v>2</v>
      </c>
      <c r="Z75" s="192">
        <v>3</v>
      </c>
      <c r="AA75" s="192">
        <v>6</v>
      </c>
      <c r="AB75" s="192">
        <v>3</v>
      </c>
      <c r="AC75" s="192">
        <v>3</v>
      </c>
      <c r="AD75" s="192">
        <v>3</v>
      </c>
      <c r="AE75" s="192">
        <v>5</v>
      </c>
      <c r="AF75" s="192">
        <v>1</v>
      </c>
      <c r="AG75" s="192">
        <v>1</v>
      </c>
      <c r="AH75" s="192">
        <v>6</v>
      </c>
      <c r="AI75" s="192">
        <v>3</v>
      </c>
      <c r="AJ75" s="192">
        <v>3</v>
      </c>
      <c r="AK75" s="192">
        <v>3</v>
      </c>
      <c r="AL75" s="192">
        <v>3</v>
      </c>
      <c r="AM75" s="192">
        <v>8</v>
      </c>
      <c r="AN75" s="192">
        <v>8</v>
      </c>
    </row>
    <row r="76" spans="7:115" x14ac:dyDescent="0.35">
      <c r="G76" t="s">
        <v>190</v>
      </c>
      <c r="H76" s="3">
        <v>26</v>
      </c>
      <c r="I76" s="3">
        <v>115</v>
      </c>
      <c r="J76" s="3">
        <v>770</v>
      </c>
      <c r="K76" s="3">
        <v>29.5</v>
      </c>
      <c r="L76" s="3">
        <v>29.5</v>
      </c>
      <c r="M76" s="3">
        <v>29.5</v>
      </c>
      <c r="N76" s="3">
        <v>112</v>
      </c>
      <c r="O76" s="3">
        <v>112</v>
      </c>
      <c r="P76" s="3">
        <v>30</v>
      </c>
      <c r="Q76" s="3">
        <v>55</v>
      </c>
      <c r="R76" s="3">
        <v>185</v>
      </c>
      <c r="S76" s="3">
        <v>28</v>
      </c>
      <c r="T76" s="3">
        <v>55</v>
      </c>
      <c r="U76" s="3">
        <v>210</v>
      </c>
      <c r="V76" s="3">
        <v>30</v>
      </c>
      <c r="W76" s="3">
        <v>58</v>
      </c>
      <c r="X76" s="3">
        <v>585</v>
      </c>
      <c r="Y76" s="3">
        <v>105</v>
      </c>
      <c r="Z76" s="3">
        <v>185</v>
      </c>
      <c r="AA76" s="3">
        <v>108</v>
      </c>
      <c r="AB76" s="3">
        <v>58</v>
      </c>
      <c r="AC76" s="3">
        <v>91</v>
      </c>
      <c r="AD76" s="3">
        <v>91</v>
      </c>
      <c r="AE76" s="3">
        <v>100</v>
      </c>
      <c r="AF76" s="3">
        <v>590</v>
      </c>
      <c r="AG76" s="3">
        <v>590</v>
      </c>
      <c r="AH76" s="3">
        <v>100</v>
      </c>
      <c r="AI76" s="3">
        <v>100</v>
      </c>
      <c r="AJ76" s="3">
        <v>100</v>
      </c>
      <c r="AK76" s="3">
        <v>100</v>
      </c>
      <c r="AL76" s="3">
        <v>100</v>
      </c>
      <c r="AM76" s="3">
        <v>33.5</v>
      </c>
      <c r="AN76" s="3">
        <v>33.5</v>
      </c>
    </row>
    <row r="77" spans="7:115" x14ac:dyDescent="0.35">
      <c r="G77" t="s">
        <v>330</v>
      </c>
      <c r="H77" s="192" t="s">
        <v>355</v>
      </c>
      <c r="I77" s="192" t="s">
        <v>346</v>
      </c>
      <c r="J77" s="192" t="s">
        <v>87</v>
      </c>
      <c r="K77" s="192" t="s">
        <v>355</v>
      </c>
      <c r="L77" s="192" t="s">
        <v>93</v>
      </c>
      <c r="M77" s="192" t="s">
        <v>346</v>
      </c>
      <c r="N77" s="192" t="s">
        <v>1</v>
      </c>
      <c r="O77" s="192" t="s">
        <v>1</v>
      </c>
      <c r="P77" s="192" t="s">
        <v>346</v>
      </c>
      <c r="Q77" s="192" t="s">
        <v>93</v>
      </c>
      <c r="R77" s="192" t="s">
        <v>346</v>
      </c>
      <c r="S77" s="192" t="s">
        <v>366</v>
      </c>
      <c r="T77" s="192" t="s">
        <v>93</v>
      </c>
      <c r="U77" s="192" t="s">
        <v>87</v>
      </c>
      <c r="V77" s="192" t="s">
        <v>181</v>
      </c>
      <c r="W77" s="192" t="s">
        <v>93</v>
      </c>
      <c r="X77" s="192" t="s">
        <v>87</v>
      </c>
      <c r="Y77" s="192" t="s">
        <v>87</v>
      </c>
      <c r="Z77" s="192" t="s">
        <v>87</v>
      </c>
      <c r="AA77" s="192" t="s">
        <v>87</v>
      </c>
      <c r="AB77" s="192" t="s">
        <v>343</v>
      </c>
      <c r="AC77" s="192" t="s">
        <v>1</v>
      </c>
      <c r="AD77" s="192" t="s">
        <v>1</v>
      </c>
      <c r="AE77" s="192" t="s">
        <v>87</v>
      </c>
      <c r="AF77" s="192" t="s">
        <v>87</v>
      </c>
      <c r="AG77" s="192" t="s">
        <v>87</v>
      </c>
      <c r="AH77" s="192" t="s">
        <v>87</v>
      </c>
      <c r="AI77" s="192" t="s">
        <v>33</v>
      </c>
      <c r="AJ77" s="192" t="s">
        <v>0</v>
      </c>
      <c r="AK77" s="192" t="s">
        <v>0</v>
      </c>
      <c r="AL77" s="192" t="s">
        <v>0</v>
      </c>
      <c r="AM77" s="192" t="s">
        <v>33</v>
      </c>
      <c r="AN77" s="192" t="s">
        <v>33</v>
      </c>
    </row>
    <row r="78" spans="7:115" x14ac:dyDescent="0.35">
      <c r="G78" t="s">
        <v>331</v>
      </c>
      <c r="H78" s="3">
        <v>4.7</v>
      </c>
      <c r="I78" s="3">
        <v>4.7</v>
      </c>
      <c r="J78" s="3">
        <v>20.100000000000001</v>
      </c>
      <c r="K78" s="3">
        <v>5.8</v>
      </c>
      <c r="L78" s="3">
        <v>3</v>
      </c>
      <c r="M78" s="3">
        <v>3</v>
      </c>
      <c r="N78" s="3">
        <v>4</v>
      </c>
      <c r="O78" s="3">
        <v>3.6</v>
      </c>
      <c r="P78" s="3">
        <v>1.75</v>
      </c>
      <c r="Q78" s="3">
        <v>1.8</v>
      </c>
      <c r="R78" s="3">
        <v>0.5</v>
      </c>
      <c r="S78" s="3">
        <v>1.28</v>
      </c>
      <c r="T78" s="3">
        <v>0.7</v>
      </c>
      <c r="U78" s="3">
        <v>3.25</v>
      </c>
      <c r="V78" s="3">
        <v>2.15</v>
      </c>
      <c r="W78" s="3">
        <v>1.74</v>
      </c>
      <c r="X78" s="3">
        <v>3.55</v>
      </c>
      <c r="Y78" s="3">
        <v>30.85</v>
      </c>
      <c r="Z78" s="3">
        <v>30.85</v>
      </c>
      <c r="AA78" s="3">
        <v>2.86</v>
      </c>
      <c r="AB78" s="3">
        <v>1.19</v>
      </c>
      <c r="AC78" s="3">
        <v>0.82</v>
      </c>
      <c r="AD78" s="3">
        <v>1.1000000000000001</v>
      </c>
      <c r="AE78" s="3">
        <v>42</v>
      </c>
      <c r="AF78" s="3">
        <v>53.05</v>
      </c>
      <c r="AG78" s="3">
        <v>62</v>
      </c>
      <c r="AH78" s="3">
        <v>38.1</v>
      </c>
      <c r="AI78" s="3">
        <v>1.48</v>
      </c>
      <c r="AJ78" s="3">
        <v>8.3000000000000007</v>
      </c>
      <c r="AK78" s="3">
        <v>10.14</v>
      </c>
      <c r="AL78" s="3">
        <v>10.95</v>
      </c>
      <c r="AM78" s="3">
        <v>0.44</v>
      </c>
      <c r="AN78" s="3">
        <v>0.56999999999999995</v>
      </c>
    </row>
    <row r="79" spans="7:115" x14ac:dyDescent="0.35">
      <c r="G79" t="s">
        <v>246</v>
      </c>
      <c r="H79" s="192">
        <v>2</v>
      </c>
      <c r="I79" s="192">
        <v>4</v>
      </c>
      <c r="J79" s="192">
        <v>1</v>
      </c>
      <c r="K79" s="192">
        <v>2</v>
      </c>
      <c r="L79" s="192">
        <v>6</v>
      </c>
      <c r="M79" s="192">
        <v>6</v>
      </c>
      <c r="N79" s="192">
        <v>3</v>
      </c>
      <c r="O79" s="192">
        <v>3</v>
      </c>
      <c r="P79" s="192">
        <v>5</v>
      </c>
      <c r="Q79" s="192">
        <v>4</v>
      </c>
      <c r="R79" s="192">
        <v>10</v>
      </c>
      <c r="S79" s="192">
        <v>10</v>
      </c>
      <c r="T79" s="192">
        <v>6</v>
      </c>
      <c r="U79" s="192">
        <v>1</v>
      </c>
      <c r="V79" s="192">
        <v>3</v>
      </c>
      <c r="W79" s="192">
        <v>7</v>
      </c>
      <c r="X79" s="192">
        <v>1</v>
      </c>
      <c r="Y79" s="192">
        <v>0.5</v>
      </c>
      <c r="Z79" s="192">
        <v>0.5</v>
      </c>
      <c r="AA79" s="192">
        <v>1</v>
      </c>
      <c r="AB79" s="192">
        <v>1</v>
      </c>
      <c r="AC79" s="192">
        <v>3</v>
      </c>
      <c r="AD79" s="192">
        <v>3</v>
      </c>
      <c r="AE79" s="192">
        <v>1</v>
      </c>
      <c r="AF79" s="192">
        <v>1</v>
      </c>
      <c r="AG79" s="192">
        <v>1</v>
      </c>
      <c r="AH79" s="192">
        <v>1</v>
      </c>
      <c r="AI79" s="192">
        <v>10</v>
      </c>
      <c r="AJ79" s="192">
        <v>2</v>
      </c>
      <c r="AK79" s="192">
        <v>2</v>
      </c>
      <c r="AL79" s="192">
        <v>2</v>
      </c>
      <c r="AM79" s="192">
        <v>8</v>
      </c>
      <c r="AN79" s="192">
        <v>8</v>
      </c>
    </row>
    <row r="80" spans="7:115" x14ac:dyDescent="0.35">
      <c r="G80" t="s">
        <v>190</v>
      </c>
      <c r="H80" s="3">
        <v>120</v>
      </c>
      <c r="I80" s="3">
        <v>55</v>
      </c>
      <c r="J80" s="3">
        <v>732.5</v>
      </c>
      <c r="K80" s="3">
        <v>130</v>
      </c>
      <c r="L80" s="3">
        <v>55</v>
      </c>
      <c r="M80" s="3">
        <v>50</v>
      </c>
      <c r="N80" s="3">
        <v>115</v>
      </c>
      <c r="O80" s="3">
        <v>113</v>
      </c>
      <c r="P80" s="3">
        <v>60</v>
      </c>
      <c r="Q80" s="3">
        <v>55</v>
      </c>
      <c r="R80" s="3">
        <v>53</v>
      </c>
      <c r="S80" s="3">
        <v>27</v>
      </c>
      <c r="T80" s="3">
        <v>55</v>
      </c>
      <c r="U80" s="3">
        <v>645</v>
      </c>
      <c r="V80" s="3">
        <v>30</v>
      </c>
      <c r="W80" s="3">
        <v>57.5</v>
      </c>
      <c r="X80" s="3">
        <v>592.5</v>
      </c>
      <c r="Y80" s="3">
        <v>600</v>
      </c>
      <c r="Z80" s="3">
        <v>600</v>
      </c>
      <c r="AA80" s="3">
        <v>595</v>
      </c>
      <c r="AB80" s="3">
        <v>210</v>
      </c>
      <c r="AC80" s="3">
        <v>90</v>
      </c>
      <c r="AD80" s="3">
        <v>90.5</v>
      </c>
      <c r="AE80" s="3">
        <v>560</v>
      </c>
      <c r="AF80" s="3">
        <v>540</v>
      </c>
      <c r="AG80" s="3">
        <v>560</v>
      </c>
      <c r="AH80" s="3">
        <v>610</v>
      </c>
      <c r="AI80" s="3">
        <v>34</v>
      </c>
      <c r="AJ80" s="3">
        <v>191</v>
      </c>
      <c r="AK80" s="3">
        <v>190</v>
      </c>
      <c r="AL80" s="3">
        <v>190</v>
      </c>
      <c r="AM80" s="3">
        <v>33.5</v>
      </c>
      <c r="AN80" s="3">
        <v>33.5</v>
      </c>
    </row>
    <row r="81" spans="7:40" x14ac:dyDescent="0.35">
      <c r="G81" t="s">
        <v>13</v>
      </c>
      <c r="H81" s="3">
        <v>10</v>
      </c>
      <c r="I81" s="3">
        <v>10</v>
      </c>
      <c r="J81" s="3">
        <v>10</v>
      </c>
      <c r="K81" s="3">
        <v>10</v>
      </c>
      <c r="L81" s="3">
        <v>10</v>
      </c>
      <c r="M81" s="3">
        <v>10</v>
      </c>
      <c r="N81" s="3">
        <v>10</v>
      </c>
      <c r="O81" s="3">
        <v>10</v>
      </c>
      <c r="P81" s="3">
        <v>10</v>
      </c>
      <c r="Q81" s="3">
        <v>10</v>
      </c>
      <c r="R81" s="3">
        <v>10</v>
      </c>
      <c r="S81" s="3">
        <v>10</v>
      </c>
      <c r="T81" s="3">
        <v>25</v>
      </c>
      <c r="U81" s="3">
        <v>25</v>
      </c>
      <c r="V81" s="3">
        <v>25</v>
      </c>
      <c r="W81" s="3">
        <v>25</v>
      </c>
      <c r="X81" s="3">
        <v>25</v>
      </c>
      <c r="Y81" s="3">
        <v>25</v>
      </c>
      <c r="Z81" s="3">
        <v>25</v>
      </c>
      <c r="AA81" s="3">
        <v>25</v>
      </c>
      <c r="AB81" s="3">
        <v>25</v>
      </c>
      <c r="AC81" s="3">
        <v>25</v>
      </c>
      <c r="AD81" s="3">
        <v>25</v>
      </c>
      <c r="AE81" s="3">
        <v>25</v>
      </c>
      <c r="AF81" s="3">
        <v>25</v>
      </c>
      <c r="AG81" s="3">
        <v>25</v>
      </c>
      <c r="AH81" s="3">
        <v>25</v>
      </c>
      <c r="AI81" s="3">
        <v>25</v>
      </c>
      <c r="AJ81" s="3">
        <v>25</v>
      </c>
      <c r="AK81" s="3">
        <v>25</v>
      </c>
      <c r="AL81" s="3">
        <v>25</v>
      </c>
      <c r="AM81" s="3">
        <v>25</v>
      </c>
      <c r="AN81" s="3">
        <v>25</v>
      </c>
    </row>
    <row r="82" spans="7:40" x14ac:dyDescent="0.35">
      <c r="G82" t="s">
        <v>14</v>
      </c>
      <c r="H82" s="3">
        <v>0.8</v>
      </c>
      <c r="I82" s="3">
        <v>0.8</v>
      </c>
      <c r="J82" s="3">
        <v>0.8</v>
      </c>
      <c r="K82" s="3">
        <v>0.8</v>
      </c>
      <c r="L82" s="3">
        <v>0.8</v>
      </c>
      <c r="M82" s="3">
        <v>0.8</v>
      </c>
      <c r="N82" s="3">
        <v>0.8</v>
      </c>
      <c r="O82" s="3">
        <v>0.8</v>
      </c>
      <c r="P82" s="3">
        <v>0.8</v>
      </c>
      <c r="Q82" s="3">
        <v>0.8</v>
      </c>
      <c r="R82" s="3">
        <v>0.8</v>
      </c>
      <c r="S82" s="3">
        <v>0.8</v>
      </c>
      <c r="T82" s="3">
        <v>1.8</v>
      </c>
      <c r="U82" s="3">
        <v>1.75</v>
      </c>
      <c r="V82" s="3">
        <v>1.75</v>
      </c>
      <c r="W82" s="3">
        <v>1.75</v>
      </c>
      <c r="X82" s="3">
        <v>1.75</v>
      </c>
      <c r="Y82" s="3">
        <v>1.75</v>
      </c>
      <c r="Z82" s="3">
        <v>1.75</v>
      </c>
      <c r="AA82" s="3">
        <v>1.75</v>
      </c>
      <c r="AB82" s="3">
        <v>1.75</v>
      </c>
      <c r="AC82" s="3">
        <v>1.75</v>
      </c>
      <c r="AD82" s="3">
        <v>1.75</v>
      </c>
      <c r="AE82" s="3">
        <v>1.75</v>
      </c>
      <c r="AF82" s="3">
        <v>1.75</v>
      </c>
      <c r="AG82" s="3">
        <v>1.75</v>
      </c>
      <c r="AH82" s="3">
        <v>1.75</v>
      </c>
      <c r="AI82" s="3">
        <v>1.75</v>
      </c>
      <c r="AJ82" s="3">
        <v>1.75</v>
      </c>
      <c r="AK82" s="3">
        <v>1.75</v>
      </c>
      <c r="AL82" s="3">
        <v>1.75</v>
      </c>
      <c r="AM82" s="3">
        <v>1.75</v>
      </c>
      <c r="AN82" s="3">
        <v>1.75</v>
      </c>
    </row>
    <row r="83" spans="7:40" x14ac:dyDescent="0.35">
      <c r="G83" t="s">
        <v>318</v>
      </c>
      <c r="H83" s="6">
        <v>18</v>
      </c>
      <c r="I83" s="6">
        <v>18</v>
      </c>
      <c r="J83" s="6">
        <v>4</v>
      </c>
      <c r="K83" s="6">
        <v>10</v>
      </c>
      <c r="L83" s="6">
        <v>10</v>
      </c>
      <c r="M83" s="6">
        <v>10</v>
      </c>
      <c r="N83" s="6">
        <v>12</v>
      </c>
      <c r="O83" s="6">
        <v>5</v>
      </c>
      <c r="P83" s="6">
        <v>4</v>
      </c>
      <c r="Q83" s="6">
        <v>4</v>
      </c>
      <c r="R83" s="6">
        <v>2</v>
      </c>
      <c r="S83" s="6">
        <v>5</v>
      </c>
      <c r="T83" s="6">
        <v>1</v>
      </c>
      <c r="U83" s="6">
        <v>1</v>
      </c>
      <c r="V83" s="6">
        <v>4</v>
      </c>
      <c r="W83" s="6">
        <v>3</v>
      </c>
      <c r="X83" s="6">
        <v>1</v>
      </c>
      <c r="Y83" s="6">
        <v>-30</v>
      </c>
      <c r="Z83" s="6">
        <v>-16</v>
      </c>
      <c r="AA83" s="6">
        <v>1</v>
      </c>
      <c r="AB83" s="6">
        <v>1</v>
      </c>
      <c r="AC83" s="6">
        <v>1</v>
      </c>
      <c r="AD83" s="6">
        <v>1</v>
      </c>
      <c r="AE83" s="6">
        <v>25</v>
      </c>
      <c r="AF83" s="6">
        <v>25</v>
      </c>
      <c r="AG83" s="6">
        <v>25</v>
      </c>
      <c r="AH83" s="6">
        <v>3</v>
      </c>
      <c r="AI83" s="6">
        <v>13</v>
      </c>
      <c r="AJ83" s="6">
        <v>13</v>
      </c>
      <c r="AK83" s="6">
        <v>22</v>
      </c>
      <c r="AL83" s="6">
        <v>24</v>
      </c>
      <c r="AM83" s="6">
        <v>3</v>
      </c>
      <c r="AN83" s="6">
        <v>5</v>
      </c>
    </row>
    <row r="85" spans="7:40" x14ac:dyDescent="0.35">
      <c r="G85" t="s">
        <v>332</v>
      </c>
      <c r="H85" s="3">
        <f t="shared" ref="H85:AN85" si="28">H76*H75*100</f>
        <v>18200</v>
      </c>
      <c r="I85" s="3">
        <f t="shared" si="28"/>
        <v>23000</v>
      </c>
      <c r="J85" s="3">
        <f t="shared" si="28"/>
        <v>77000</v>
      </c>
      <c r="K85" s="3">
        <f t="shared" si="28"/>
        <v>29500</v>
      </c>
      <c r="L85" s="3">
        <f t="shared" si="28"/>
        <v>29500</v>
      </c>
      <c r="M85" s="3">
        <f t="shared" si="28"/>
        <v>29500</v>
      </c>
      <c r="N85" s="3">
        <f t="shared" si="28"/>
        <v>33600</v>
      </c>
      <c r="O85" s="3">
        <f t="shared" si="28"/>
        <v>33600</v>
      </c>
      <c r="P85" s="3">
        <f t="shared" si="28"/>
        <v>30000</v>
      </c>
      <c r="Q85" s="3">
        <f t="shared" si="28"/>
        <v>22000</v>
      </c>
      <c r="R85" s="3">
        <f t="shared" si="28"/>
        <v>55500</v>
      </c>
      <c r="S85" s="3">
        <f t="shared" si="28"/>
        <v>28000</v>
      </c>
      <c r="T85" s="3">
        <f t="shared" si="28"/>
        <v>33000</v>
      </c>
      <c r="U85" s="3">
        <f t="shared" si="28"/>
        <v>63000</v>
      </c>
      <c r="V85" s="3">
        <f t="shared" si="28"/>
        <v>9000</v>
      </c>
      <c r="W85" s="3">
        <f t="shared" si="28"/>
        <v>40600</v>
      </c>
      <c r="X85" s="3">
        <f t="shared" si="28"/>
        <v>58500</v>
      </c>
      <c r="Y85" s="3">
        <f t="shared" si="28"/>
        <v>21000</v>
      </c>
      <c r="Z85" s="3">
        <f t="shared" si="28"/>
        <v>55500</v>
      </c>
      <c r="AA85" s="3">
        <f t="shared" si="28"/>
        <v>64800</v>
      </c>
      <c r="AB85" s="3">
        <f t="shared" si="28"/>
        <v>17400</v>
      </c>
      <c r="AC85" s="3">
        <f t="shared" si="28"/>
        <v>27300</v>
      </c>
      <c r="AD85" s="3">
        <f t="shared" si="28"/>
        <v>27300</v>
      </c>
      <c r="AE85" s="3">
        <f t="shared" si="28"/>
        <v>50000</v>
      </c>
      <c r="AF85" s="3">
        <f t="shared" si="28"/>
        <v>59000</v>
      </c>
      <c r="AG85" s="3">
        <f t="shared" si="28"/>
        <v>59000</v>
      </c>
      <c r="AH85" s="3">
        <f t="shared" si="28"/>
        <v>60000</v>
      </c>
      <c r="AI85" s="3">
        <f t="shared" si="28"/>
        <v>30000</v>
      </c>
      <c r="AJ85" s="3">
        <f t="shared" si="28"/>
        <v>30000</v>
      </c>
      <c r="AK85" s="3">
        <f t="shared" si="28"/>
        <v>30000</v>
      </c>
      <c r="AL85" s="3">
        <f t="shared" si="28"/>
        <v>30000</v>
      </c>
      <c r="AM85" s="3">
        <f t="shared" si="28"/>
        <v>26800</v>
      </c>
      <c r="AN85" s="3">
        <f t="shared" si="28"/>
        <v>26800</v>
      </c>
    </row>
    <row r="86" spans="7:40" x14ac:dyDescent="0.35">
      <c r="G86" t="s">
        <v>333</v>
      </c>
      <c r="H86" s="3">
        <f t="shared" ref="H86:AN86" si="29">H80*H79*100</f>
        <v>24000</v>
      </c>
      <c r="I86" s="3">
        <f t="shared" si="29"/>
        <v>22000</v>
      </c>
      <c r="J86" s="3">
        <f t="shared" si="29"/>
        <v>73250</v>
      </c>
      <c r="K86" s="3">
        <f t="shared" si="29"/>
        <v>26000</v>
      </c>
      <c r="L86" s="3">
        <f t="shared" si="29"/>
        <v>33000</v>
      </c>
      <c r="M86" s="3">
        <f t="shared" si="29"/>
        <v>30000</v>
      </c>
      <c r="N86" s="3">
        <f t="shared" si="29"/>
        <v>34500</v>
      </c>
      <c r="O86" s="3">
        <f t="shared" si="29"/>
        <v>33900</v>
      </c>
      <c r="P86" s="3">
        <f t="shared" si="29"/>
        <v>30000</v>
      </c>
      <c r="Q86" s="3">
        <f t="shared" si="29"/>
        <v>22000</v>
      </c>
      <c r="R86" s="3">
        <f t="shared" si="29"/>
        <v>53000</v>
      </c>
      <c r="S86" s="3">
        <f t="shared" si="29"/>
        <v>27000</v>
      </c>
      <c r="T86" s="3">
        <f t="shared" si="29"/>
        <v>33000</v>
      </c>
      <c r="U86" s="3">
        <f t="shared" si="29"/>
        <v>64500</v>
      </c>
      <c r="V86" s="3">
        <f t="shared" si="29"/>
        <v>9000</v>
      </c>
      <c r="W86" s="3">
        <f t="shared" si="29"/>
        <v>40250</v>
      </c>
      <c r="X86" s="3">
        <f t="shared" si="29"/>
        <v>59250</v>
      </c>
      <c r="Y86" s="3">
        <f t="shared" si="29"/>
        <v>30000</v>
      </c>
      <c r="Z86" s="3">
        <f t="shared" si="29"/>
        <v>30000</v>
      </c>
      <c r="AA86" s="3">
        <f t="shared" si="29"/>
        <v>59500</v>
      </c>
      <c r="AB86" s="3">
        <f t="shared" si="29"/>
        <v>21000</v>
      </c>
      <c r="AC86" s="3">
        <f t="shared" si="29"/>
        <v>27000</v>
      </c>
      <c r="AD86" s="3">
        <f t="shared" si="29"/>
        <v>27150</v>
      </c>
      <c r="AE86" s="3">
        <f t="shared" si="29"/>
        <v>56000</v>
      </c>
      <c r="AF86" s="3">
        <f t="shared" si="29"/>
        <v>54000</v>
      </c>
      <c r="AG86" s="3">
        <f t="shared" si="29"/>
        <v>56000</v>
      </c>
      <c r="AH86" s="3">
        <f t="shared" si="29"/>
        <v>61000</v>
      </c>
      <c r="AI86" s="3">
        <f t="shared" si="29"/>
        <v>34000</v>
      </c>
      <c r="AJ86" s="3">
        <f t="shared" si="29"/>
        <v>38200</v>
      </c>
      <c r="AK86" s="3">
        <f t="shared" si="29"/>
        <v>38000</v>
      </c>
      <c r="AL86" s="3">
        <f t="shared" si="29"/>
        <v>38000</v>
      </c>
      <c r="AM86" s="3">
        <f t="shared" si="29"/>
        <v>26800</v>
      </c>
      <c r="AN86" s="3">
        <f t="shared" si="29"/>
        <v>26800</v>
      </c>
    </row>
    <row r="87" spans="7:40" x14ac:dyDescent="0.35">
      <c r="G87" t="s">
        <v>334</v>
      </c>
      <c r="H87" s="3">
        <f t="shared" ref="H87:AN87" si="30">(100*H74+H82)*H75+H81</f>
        <v>3305.6</v>
      </c>
      <c r="I87" s="3">
        <f t="shared" si="30"/>
        <v>1371.6</v>
      </c>
      <c r="J87" s="3">
        <f t="shared" si="30"/>
        <v>1980.8</v>
      </c>
      <c r="K87" s="3">
        <f t="shared" si="30"/>
        <v>1758</v>
      </c>
      <c r="L87" s="3">
        <f t="shared" si="30"/>
        <v>1758</v>
      </c>
      <c r="M87" s="3">
        <f t="shared" si="30"/>
        <v>1538</v>
      </c>
      <c r="N87" s="3">
        <f t="shared" si="30"/>
        <v>867.40000000000009</v>
      </c>
      <c r="O87" s="3">
        <f t="shared" si="30"/>
        <v>1017.4000000000001</v>
      </c>
      <c r="P87" s="3">
        <f t="shared" si="30"/>
        <v>1308</v>
      </c>
      <c r="Q87" s="3">
        <f t="shared" si="30"/>
        <v>573.20000000000005</v>
      </c>
      <c r="R87" s="3">
        <f t="shared" si="30"/>
        <v>117.39999999999999</v>
      </c>
      <c r="S87" s="3">
        <f t="shared" si="30"/>
        <v>988</v>
      </c>
      <c r="T87" s="3">
        <f t="shared" si="30"/>
        <v>197.8</v>
      </c>
      <c r="U87" s="3">
        <f t="shared" si="30"/>
        <v>216.25</v>
      </c>
      <c r="V87" s="3">
        <f t="shared" si="30"/>
        <v>570.25</v>
      </c>
      <c r="W87" s="3">
        <f t="shared" si="30"/>
        <v>1185.25</v>
      </c>
      <c r="X87" s="3">
        <f t="shared" si="30"/>
        <v>226.75</v>
      </c>
      <c r="Y87" s="3">
        <f t="shared" si="30"/>
        <v>1638.5000000000002</v>
      </c>
      <c r="Z87" s="3">
        <f t="shared" si="30"/>
        <v>1269.25</v>
      </c>
      <c r="AA87" s="3">
        <f t="shared" si="30"/>
        <v>593.5</v>
      </c>
      <c r="AB87" s="3">
        <f t="shared" si="30"/>
        <v>81.25</v>
      </c>
      <c r="AC87" s="3">
        <f t="shared" si="30"/>
        <v>129.25</v>
      </c>
      <c r="AD87" s="3">
        <f t="shared" si="30"/>
        <v>225.25</v>
      </c>
      <c r="AE87" s="3">
        <f t="shared" si="30"/>
        <v>3883.75</v>
      </c>
      <c r="AF87" s="3">
        <f t="shared" si="30"/>
        <v>5056.75</v>
      </c>
      <c r="AG87" s="3">
        <f t="shared" si="30"/>
        <v>5026.75</v>
      </c>
      <c r="AH87" s="3">
        <f t="shared" si="30"/>
        <v>3275.5</v>
      </c>
      <c r="AI87" s="3">
        <f t="shared" si="30"/>
        <v>1500.2500000000002</v>
      </c>
      <c r="AJ87" s="3">
        <f t="shared" si="30"/>
        <v>1455.25</v>
      </c>
      <c r="AK87" s="3">
        <f t="shared" si="30"/>
        <v>1455.25</v>
      </c>
      <c r="AL87" s="3">
        <f t="shared" si="30"/>
        <v>1455.25</v>
      </c>
      <c r="AM87" s="3">
        <f t="shared" si="30"/>
        <v>183</v>
      </c>
      <c r="AN87" s="3">
        <f t="shared" si="30"/>
        <v>183</v>
      </c>
    </row>
    <row r="88" spans="7:40" x14ac:dyDescent="0.35">
      <c r="G88" t="s">
        <v>335</v>
      </c>
      <c r="H88" s="3">
        <f t="shared" ref="H88:AN88" si="31">(100*H78-H82)*H79-H81</f>
        <v>928.4</v>
      </c>
      <c r="I88" s="3">
        <f t="shared" si="31"/>
        <v>1866.8</v>
      </c>
      <c r="J88" s="3">
        <f t="shared" si="31"/>
        <v>1999.2000000000003</v>
      </c>
      <c r="K88" s="3">
        <f t="shared" si="31"/>
        <v>1148.4000000000001</v>
      </c>
      <c r="L88" s="3">
        <f t="shared" si="31"/>
        <v>1785.1999999999998</v>
      </c>
      <c r="M88" s="3">
        <f t="shared" si="31"/>
        <v>1785.1999999999998</v>
      </c>
      <c r="N88" s="3">
        <f t="shared" si="31"/>
        <v>1187.5999999999999</v>
      </c>
      <c r="O88" s="3">
        <f t="shared" si="31"/>
        <v>1067.5999999999999</v>
      </c>
      <c r="P88" s="3">
        <f t="shared" si="31"/>
        <v>861</v>
      </c>
      <c r="Q88" s="3">
        <f t="shared" si="31"/>
        <v>706.8</v>
      </c>
      <c r="R88" s="3">
        <f t="shared" si="31"/>
        <v>482</v>
      </c>
      <c r="S88" s="3">
        <f t="shared" si="31"/>
        <v>1262</v>
      </c>
      <c r="T88" s="3">
        <f t="shared" si="31"/>
        <v>384.20000000000005</v>
      </c>
      <c r="U88" s="3">
        <f t="shared" si="31"/>
        <v>298.25</v>
      </c>
      <c r="V88" s="3">
        <f t="shared" si="31"/>
        <v>614.75</v>
      </c>
      <c r="W88" s="3">
        <f t="shared" si="31"/>
        <v>1180.75</v>
      </c>
      <c r="X88" s="3">
        <f t="shared" si="31"/>
        <v>328.25</v>
      </c>
      <c r="Y88" s="3">
        <f t="shared" si="31"/>
        <v>1516.625</v>
      </c>
      <c r="Z88" s="3">
        <f t="shared" si="31"/>
        <v>1516.625</v>
      </c>
      <c r="AA88" s="3">
        <f t="shared" si="31"/>
        <v>259.25</v>
      </c>
      <c r="AB88" s="3">
        <f t="shared" si="31"/>
        <v>92.25</v>
      </c>
      <c r="AC88" s="3">
        <f t="shared" si="31"/>
        <v>215.75</v>
      </c>
      <c r="AD88" s="3">
        <f t="shared" si="31"/>
        <v>299.75000000000006</v>
      </c>
      <c r="AE88" s="3">
        <f t="shared" si="31"/>
        <v>4173.25</v>
      </c>
      <c r="AF88" s="3">
        <f t="shared" si="31"/>
        <v>5278.25</v>
      </c>
      <c r="AG88" s="3">
        <f t="shared" si="31"/>
        <v>6173.25</v>
      </c>
      <c r="AH88" s="3">
        <f t="shared" si="31"/>
        <v>3783.25</v>
      </c>
      <c r="AI88" s="3">
        <f t="shared" si="31"/>
        <v>1437.5</v>
      </c>
      <c r="AJ88" s="3">
        <f t="shared" si="31"/>
        <v>1631.5000000000002</v>
      </c>
      <c r="AK88" s="3">
        <f t="shared" si="31"/>
        <v>1999.5</v>
      </c>
      <c r="AL88" s="3">
        <f t="shared" si="31"/>
        <v>2161.5</v>
      </c>
      <c r="AM88" s="3">
        <f t="shared" si="31"/>
        <v>313</v>
      </c>
      <c r="AN88" s="3">
        <f t="shared" si="31"/>
        <v>416.99999999999994</v>
      </c>
    </row>
    <row r="89" spans="7:40" x14ac:dyDescent="0.35">
      <c r="G89" t="s">
        <v>248</v>
      </c>
      <c r="H89" s="3">
        <f>H88-H87</f>
        <v>-2377.1999999999998</v>
      </c>
      <c r="I89" s="3">
        <f>I88-I87</f>
        <v>495.20000000000005</v>
      </c>
      <c r="J89" s="3">
        <f>J88-J87</f>
        <v>18.400000000000318</v>
      </c>
      <c r="K89" s="3">
        <f t="shared" ref="K89:AN89" si="32">K88-K87</f>
        <v>-609.59999999999991</v>
      </c>
      <c r="L89" s="3">
        <f t="shared" si="32"/>
        <v>27.199999999999818</v>
      </c>
      <c r="M89" s="3">
        <f t="shared" si="32"/>
        <v>247.19999999999982</v>
      </c>
      <c r="N89" s="3">
        <f t="shared" si="32"/>
        <v>320.19999999999982</v>
      </c>
      <c r="O89" s="3">
        <f t="shared" si="32"/>
        <v>50.199999999999818</v>
      </c>
      <c r="P89" s="3">
        <f t="shared" si="32"/>
        <v>-447</v>
      </c>
      <c r="Q89" s="3">
        <f t="shared" si="32"/>
        <v>133.59999999999991</v>
      </c>
      <c r="R89" s="3">
        <f t="shared" si="32"/>
        <v>364.6</v>
      </c>
      <c r="S89" s="3">
        <f t="shared" si="32"/>
        <v>274</v>
      </c>
      <c r="T89" s="3">
        <f t="shared" si="32"/>
        <v>186.40000000000003</v>
      </c>
      <c r="U89" s="3">
        <f t="shared" si="32"/>
        <v>82</v>
      </c>
      <c r="V89" s="3">
        <f t="shared" si="32"/>
        <v>44.5</v>
      </c>
      <c r="W89" s="3">
        <f t="shared" si="32"/>
        <v>-4.5</v>
      </c>
      <c r="X89" s="3">
        <f t="shared" si="32"/>
        <v>101.5</v>
      </c>
      <c r="Y89" s="3">
        <f t="shared" si="32"/>
        <v>-121.87500000000023</v>
      </c>
      <c r="Z89" s="3">
        <f t="shared" si="32"/>
        <v>247.375</v>
      </c>
      <c r="AA89" s="3">
        <f t="shared" si="32"/>
        <v>-334.25</v>
      </c>
      <c r="AB89" s="3">
        <f t="shared" si="32"/>
        <v>11</v>
      </c>
      <c r="AC89" s="3">
        <f t="shared" si="32"/>
        <v>86.5</v>
      </c>
      <c r="AD89" s="3">
        <f t="shared" si="32"/>
        <v>74.500000000000057</v>
      </c>
      <c r="AE89" s="3">
        <f t="shared" si="32"/>
        <v>289.5</v>
      </c>
      <c r="AF89" s="3">
        <f t="shared" si="32"/>
        <v>221.5</v>
      </c>
      <c r="AG89" s="3">
        <f t="shared" si="32"/>
        <v>1146.5</v>
      </c>
      <c r="AH89" s="3">
        <f t="shared" si="32"/>
        <v>507.75</v>
      </c>
      <c r="AI89" s="3">
        <f t="shared" si="32"/>
        <v>-62.750000000000227</v>
      </c>
      <c r="AJ89" s="3">
        <f t="shared" si="32"/>
        <v>176.25000000000023</v>
      </c>
      <c r="AK89" s="3">
        <f t="shared" si="32"/>
        <v>544.25</v>
      </c>
      <c r="AL89" s="3">
        <f t="shared" si="32"/>
        <v>706.25</v>
      </c>
      <c r="AM89" s="3">
        <f t="shared" si="32"/>
        <v>130</v>
      </c>
      <c r="AN89" s="3">
        <f t="shared" si="32"/>
        <v>233.99999999999994</v>
      </c>
    </row>
    <row r="90" spans="7:40" x14ac:dyDescent="0.35">
      <c r="G90" t="s">
        <v>319</v>
      </c>
      <c r="H90" s="8">
        <f>H89/H86*(50/H83)</f>
        <v>-0.27513888888888888</v>
      </c>
      <c r="I90" s="8">
        <f>I89/I86*(50/I83)</f>
        <v>6.2525252525252539E-2</v>
      </c>
      <c r="J90" s="8">
        <f>J89/J86*(50/J83)</f>
        <v>3.1399317406143883E-3</v>
      </c>
      <c r="K90" s="8">
        <f t="shared" ref="K90:AN90" si="33">K89/K86*(50/K83)</f>
        <v>-0.11723076923076921</v>
      </c>
      <c r="L90" s="8">
        <f t="shared" si="33"/>
        <v>4.1212121212120933E-3</v>
      </c>
      <c r="M90" s="8">
        <f t="shared" si="33"/>
        <v>4.1199999999999973E-2</v>
      </c>
      <c r="N90" s="8">
        <f t="shared" si="33"/>
        <v>3.8671497584541047E-2</v>
      </c>
      <c r="O90" s="8">
        <f t="shared" si="33"/>
        <v>1.4808259587020594E-2</v>
      </c>
      <c r="P90" s="8">
        <f t="shared" si="33"/>
        <v>-0.18625</v>
      </c>
      <c r="Q90" s="8">
        <f t="shared" si="33"/>
        <v>7.5909090909090857E-2</v>
      </c>
      <c r="R90" s="8">
        <f t="shared" si="33"/>
        <v>0.17198113207547172</v>
      </c>
      <c r="S90" s="8">
        <f t="shared" si="33"/>
        <v>0.10148148148148148</v>
      </c>
      <c r="T90" s="8">
        <f t="shared" si="33"/>
        <v>0.28242424242424247</v>
      </c>
      <c r="U90" s="8">
        <f t="shared" si="33"/>
        <v>6.3565891472868216E-2</v>
      </c>
      <c r="V90" s="8">
        <f t="shared" si="33"/>
        <v>6.1805555555555551E-2</v>
      </c>
      <c r="W90" s="8">
        <f t="shared" si="33"/>
        <v>-1.8633540372670807E-3</v>
      </c>
      <c r="X90" s="8">
        <f t="shared" si="33"/>
        <v>8.5654008438818555E-2</v>
      </c>
      <c r="Y90" s="8">
        <f t="shared" si="33"/>
        <v>6.7708333333333466E-3</v>
      </c>
      <c r="Z90" s="8">
        <f t="shared" si="33"/>
        <v>-2.576822916666667E-2</v>
      </c>
      <c r="AA90" s="8">
        <f t="shared" si="33"/>
        <v>-0.28088235294117647</v>
      </c>
      <c r="AB90" s="8">
        <f t="shared" si="33"/>
        <v>2.6190476190476191E-2</v>
      </c>
      <c r="AC90" s="8">
        <f t="shared" si="33"/>
        <v>0.16018518518518518</v>
      </c>
      <c r="AD90" s="8">
        <f t="shared" si="33"/>
        <v>0.13720073664825058</v>
      </c>
      <c r="AE90" s="8">
        <f t="shared" si="33"/>
        <v>1.0339285714285714E-2</v>
      </c>
      <c r="AF90" s="8">
        <f t="shared" si="33"/>
        <v>8.2037037037037044E-3</v>
      </c>
      <c r="AG90" s="8">
        <f t="shared" si="33"/>
        <v>4.0946428571428571E-2</v>
      </c>
      <c r="AH90" s="8">
        <f t="shared" si="33"/>
        <v>0.13872950819672131</v>
      </c>
      <c r="AI90" s="8">
        <f t="shared" si="33"/>
        <v>-7.0984162895927861E-3</v>
      </c>
      <c r="AJ90" s="8">
        <f t="shared" si="33"/>
        <v>1.7745670559806706E-2</v>
      </c>
      <c r="AK90" s="8">
        <f t="shared" si="33"/>
        <v>3.2550837320574171E-2</v>
      </c>
      <c r="AL90" s="8">
        <f t="shared" si="33"/>
        <v>3.8719846491228067E-2</v>
      </c>
      <c r="AM90" s="8">
        <f t="shared" si="33"/>
        <v>8.0845771144278614E-2</v>
      </c>
      <c r="AN90" s="8">
        <f t="shared" si="33"/>
        <v>8.7313432835820881E-2</v>
      </c>
    </row>
  </sheetData>
  <mergeCells count="2">
    <mergeCell ref="F11:F16"/>
    <mergeCell ref="F28:F34"/>
  </mergeCells>
  <hyperlinks>
    <hyperlink ref="H2" r:id="rId1" xr:uid="{00000000-0004-0000-0700-000000000000}"/>
  </hyperlinks>
  <pageMargins left="0.7" right="0.7" top="0.75" bottom="0.75" header="0.3" footer="0.3"/>
  <pageSetup orientation="portrait"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3:H33"/>
  <sheetViews>
    <sheetView workbookViewId="0">
      <pane xSplit="2" ySplit="3" topLeftCell="E4" activePane="bottomRight" state="frozen"/>
      <selection pane="topRight" activeCell="E1" sqref="E1"/>
      <selection pane="bottomLeft" activeCell="A4" sqref="A4"/>
      <selection pane="bottomRight" activeCell="F12" sqref="F12"/>
    </sheetView>
  </sheetViews>
  <sheetFormatPr defaultRowHeight="14.5" x14ac:dyDescent="0.35"/>
  <cols>
    <col min="2" max="2" width="12" bestFit="1" customWidth="1"/>
    <col min="3" max="3" width="30" style="160" bestFit="1" customWidth="1"/>
    <col min="4" max="4" width="12.453125" style="6" bestFit="1" customWidth="1"/>
    <col min="5" max="5" width="30" style="6" bestFit="1" customWidth="1"/>
    <col min="6" max="6" width="30" style="160" bestFit="1" customWidth="1"/>
    <col min="7" max="7" width="30.7265625" style="6" bestFit="1" customWidth="1"/>
    <col min="8" max="8" width="38.26953125" bestFit="1" customWidth="1"/>
  </cols>
  <sheetData>
    <row r="3" spans="2:8" ht="18.5" x14ac:dyDescent="0.45">
      <c r="B3" s="158" t="s">
        <v>378</v>
      </c>
      <c r="C3" s="161" t="s">
        <v>375</v>
      </c>
      <c r="D3" s="162" t="s">
        <v>376</v>
      </c>
      <c r="E3" s="162" t="s">
        <v>377</v>
      </c>
      <c r="F3" s="161" t="s">
        <v>94</v>
      </c>
      <c r="G3" s="162" t="s">
        <v>379</v>
      </c>
    </row>
    <row r="4" spans="2:8" x14ac:dyDescent="0.35">
      <c r="B4" t="s">
        <v>372</v>
      </c>
      <c r="C4" s="160">
        <v>42657</v>
      </c>
      <c r="D4" s="6">
        <f t="shared" ref="D4:D31" si="0">WEEKNUM(C4)</f>
        <v>42</v>
      </c>
      <c r="E4" s="6">
        <f t="shared" ref="E4:E31" ca="1" si="1">C4-TODAY()</f>
        <v>-367</v>
      </c>
      <c r="F4" s="160">
        <v>42678</v>
      </c>
      <c r="G4" s="6">
        <f t="shared" ref="G4:G31" ca="1" si="2">IF(LEN(F4)=0,"",F4-TODAY())</f>
        <v>-346</v>
      </c>
    </row>
    <row r="5" spans="2:8" x14ac:dyDescent="0.35">
      <c r="B5" t="s">
        <v>367</v>
      </c>
      <c r="C5" s="160">
        <v>42657</v>
      </c>
      <c r="D5" s="6">
        <f t="shared" si="0"/>
        <v>42</v>
      </c>
      <c r="E5" s="6">
        <f t="shared" ca="1" si="1"/>
        <v>-367</v>
      </c>
      <c r="F5" s="160">
        <v>42647</v>
      </c>
      <c r="G5" s="6">
        <f t="shared" ca="1" si="2"/>
        <v>-377</v>
      </c>
    </row>
    <row r="6" spans="2:8" x14ac:dyDescent="0.35">
      <c r="B6" t="s">
        <v>57</v>
      </c>
      <c r="C6" s="160">
        <v>42657</v>
      </c>
      <c r="D6" s="6">
        <f t="shared" si="0"/>
        <v>42</v>
      </c>
      <c r="E6" s="6">
        <f t="shared" ca="1" si="1"/>
        <v>-367</v>
      </c>
      <c r="F6" s="160">
        <v>42671</v>
      </c>
      <c r="G6" s="6">
        <f t="shared" ca="1" si="2"/>
        <v>-353</v>
      </c>
    </row>
    <row r="7" spans="2:8" x14ac:dyDescent="0.35">
      <c r="B7" s="163" t="s">
        <v>356</v>
      </c>
      <c r="C7" s="160">
        <v>42660</v>
      </c>
      <c r="D7" s="6">
        <f t="shared" si="0"/>
        <v>43</v>
      </c>
      <c r="E7" s="6">
        <f t="shared" ca="1" si="1"/>
        <v>-364</v>
      </c>
      <c r="G7" s="6" t="str">
        <f t="shared" ca="1" si="2"/>
        <v/>
      </c>
    </row>
    <row r="8" spans="2:8" x14ac:dyDescent="0.35">
      <c r="B8" t="s">
        <v>382</v>
      </c>
      <c r="C8" s="160">
        <v>42660</v>
      </c>
      <c r="D8" s="6">
        <f t="shared" si="0"/>
        <v>43</v>
      </c>
      <c r="E8" s="6">
        <f t="shared" ca="1" si="1"/>
        <v>-364</v>
      </c>
      <c r="F8" s="160">
        <v>42704</v>
      </c>
      <c r="G8" s="6">
        <f t="shared" ca="1" si="2"/>
        <v>-320</v>
      </c>
    </row>
    <row r="9" spans="2:8" x14ac:dyDescent="0.35">
      <c r="B9" s="163" t="s">
        <v>338</v>
      </c>
      <c r="C9" s="160">
        <v>42663</v>
      </c>
      <c r="D9" s="6">
        <f t="shared" si="0"/>
        <v>43</v>
      </c>
      <c r="E9" s="6">
        <f t="shared" ca="1" si="1"/>
        <v>-361</v>
      </c>
      <c r="F9" s="160">
        <v>42648</v>
      </c>
      <c r="G9" s="6">
        <f t="shared" ca="1" si="2"/>
        <v>-376</v>
      </c>
    </row>
    <row r="10" spans="2:8" x14ac:dyDescent="0.35">
      <c r="B10" t="s">
        <v>383</v>
      </c>
      <c r="C10" s="160">
        <v>42663</v>
      </c>
      <c r="D10" s="6">
        <f t="shared" si="0"/>
        <v>43</v>
      </c>
      <c r="E10" s="6">
        <f t="shared" ca="1" si="1"/>
        <v>-361</v>
      </c>
      <c r="F10" s="160">
        <v>42689</v>
      </c>
      <c r="G10" s="6">
        <f t="shared" ca="1" si="2"/>
        <v>-335</v>
      </c>
    </row>
    <row r="11" spans="2:8" x14ac:dyDescent="0.35">
      <c r="B11" t="s">
        <v>166</v>
      </c>
      <c r="C11" s="160">
        <v>42667</v>
      </c>
      <c r="D11" s="6">
        <f t="shared" si="0"/>
        <v>44</v>
      </c>
      <c r="E11" s="6">
        <f t="shared" ca="1" si="1"/>
        <v>-357</v>
      </c>
      <c r="F11" s="160">
        <v>42691</v>
      </c>
      <c r="G11" s="6">
        <f t="shared" ca="1" si="2"/>
        <v>-333</v>
      </c>
    </row>
    <row r="12" spans="2:8" x14ac:dyDescent="0.35">
      <c r="B12" s="163" t="s">
        <v>1</v>
      </c>
      <c r="C12" s="160">
        <v>42668</v>
      </c>
      <c r="D12" s="6">
        <f t="shared" si="0"/>
        <v>44</v>
      </c>
      <c r="E12" s="6">
        <f t="shared" ca="1" si="1"/>
        <v>-356</v>
      </c>
      <c r="F12" s="160">
        <v>42678</v>
      </c>
      <c r="G12" s="6">
        <f t="shared" ca="1" si="2"/>
        <v>-346</v>
      </c>
      <c r="H12" s="186"/>
    </row>
    <row r="13" spans="2:8" x14ac:dyDescent="0.35">
      <c r="B13" t="s">
        <v>180</v>
      </c>
      <c r="C13" s="160">
        <v>42668</v>
      </c>
      <c r="D13" s="6">
        <f t="shared" si="0"/>
        <v>44</v>
      </c>
      <c r="E13" s="6">
        <f t="shared" ca="1" si="1"/>
        <v>-356</v>
      </c>
      <c r="G13" s="6" t="str">
        <f t="shared" ca="1" si="2"/>
        <v/>
      </c>
    </row>
    <row r="14" spans="2:8" x14ac:dyDescent="0.35">
      <c r="B14" t="s">
        <v>33</v>
      </c>
      <c r="C14" s="160">
        <v>42668</v>
      </c>
      <c r="D14" s="6">
        <f t="shared" si="0"/>
        <v>44</v>
      </c>
      <c r="E14" s="6">
        <f t="shared" ca="1" si="1"/>
        <v>-356</v>
      </c>
      <c r="F14" s="160">
        <v>42648</v>
      </c>
      <c r="G14" s="6">
        <f t="shared" ca="1" si="2"/>
        <v>-376</v>
      </c>
    </row>
    <row r="15" spans="2:8" x14ac:dyDescent="0.35">
      <c r="B15" t="s">
        <v>354</v>
      </c>
      <c r="C15" s="160">
        <v>42668</v>
      </c>
      <c r="D15" s="6">
        <f t="shared" si="0"/>
        <v>44</v>
      </c>
      <c r="E15" s="6">
        <f t="shared" ca="1" si="1"/>
        <v>-356</v>
      </c>
      <c r="F15" s="160">
        <v>42663</v>
      </c>
      <c r="G15" s="6">
        <f t="shared" ca="1" si="2"/>
        <v>-361</v>
      </c>
    </row>
    <row r="16" spans="2:8" x14ac:dyDescent="0.35">
      <c r="B16" s="163" t="s">
        <v>343</v>
      </c>
      <c r="C16" s="160">
        <v>42669</v>
      </c>
      <c r="D16" s="6">
        <f t="shared" si="0"/>
        <v>44</v>
      </c>
      <c r="E16" s="6">
        <f t="shared" ca="1" si="1"/>
        <v>-355</v>
      </c>
      <c r="G16" s="6" t="str">
        <f t="shared" ca="1" si="2"/>
        <v/>
      </c>
    </row>
    <row r="17" spans="2:8" x14ac:dyDescent="0.35">
      <c r="B17" s="163" t="s">
        <v>363</v>
      </c>
      <c r="C17" s="160">
        <v>42669</v>
      </c>
      <c r="D17" s="6">
        <f t="shared" si="0"/>
        <v>44</v>
      </c>
      <c r="E17" s="6">
        <f t="shared" ca="1" si="1"/>
        <v>-355</v>
      </c>
      <c r="F17" s="160">
        <v>42690</v>
      </c>
      <c r="G17" s="6">
        <f t="shared" ca="1" si="2"/>
        <v>-334</v>
      </c>
    </row>
    <row r="18" spans="2:8" x14ac:dyDescent="0.35">
      <c r="B18" s="163" t="s">
        <v>87</v>
      </c>
      <c r="C18" s="160">
        <v>42670</v>
      </c>
      <c r="D18" s="6">
        <f t="shared" si="0"/>
        <v>44</v>
      </c>
      <c r="E18" s="6">
        <f t="shared" ca="1" si="1"/>
        <v>-354</v>
      </c>
      <c r="G18" s="6" t="str">
        <f t="shared" ca="1" si="2"/>
        <v/>
      </c>
    </row>
    <row r="19" spans="2:8" x14ac:dyDescent="0.35">
      <c r="B19" s="163" t="s">
        <v>374</v>
      </c>
      <c r="C19" s="160">
        <v>42670</v>
      </c>
      <c r="D19" s="6">
        <f t="shared" si="0"/>
        <v>44</v>
      </c>
      <c r="E19" s="6">
        <f t="shared" ca="1" si="1"/>
        <v>-354</v>
      </c>
      <c r="G19" s="6" t="str">
        <f t="shared" ca="1" si="2"/>
        <v/>
      </c>
    </row>
    <row r="20" spans="2:8" x14ac:dyDescent="0.35">
      <c r="B20" s="163" t="s">
        <v>368</v>
      </c>
      <c r="C20" s="160">
        <v>42670</v>
      </c>
      <c r="D20" s="6">
        <f t="shared" si="0"/>
        <v>44</v>
      </c>
      <c r="E20" s="6">
        <f t="shared" ca="1" si="1"/>
        <v>-354</v>
      </c>
      <c r="G20" s="6" t="str">
        <f t="shared" ca="1" si="2"/>
        <v/>
      </c>
    </row>
    <row r="21" spans="2:8" x14ac:dyDescent="0.35">
      <c r="B21" s="163" t="s">
        <v>184</v>
      </c>
      <c r="C21" s="160">
        <v>42676</v>
      </c>
      <c r="D21" s="6">
        <f t="shared" si="0"/>
        <v>45</v>
      </c>
      <c r="E21" s="6">
        <f t="shared" ca="1" si="1"/>
        <v>-348</v>
      </c>
      <c r="F21" s="160">
        <v>42642</v>
      </c>
      <c r="G21" s="6">
        <f t="shared" ca="1" si="2"/>
        <v>-382</v>
      </c>
    </row>
    <row r="22" spans="2:8" x14ac:dyDescent="0.35">
      <c r="B22" s="163" t="s">
        <v>355</v>
      </c>
      <c r="C22" s="160">
        <v>42676</v>
      </c>
      <c r="D22" s="6">
        <f t="shared" si="0"/>
        <v>45</v>
      </c>
      <c r="E22" s="6">
        <f t="shared" ca="1" si="1"/>
        <v>-348</v>
      </c>
      <c r="G22" s="6" t="str">
        <f t="shared" ca="1" si="2"/>
        <v/>
      </c>
    </row>
    <row r="23" spans="2:8" x14ac:dyDescent="0.35">
      <c r="B23" s="163" t="s">
        <v>181</v>
      </c>
      <c r="C23" s="160">
        <v>42674</v>
      </c>
      <c r="D23" s="6">
        <f t="shared" si="0"/>
        <v>45</v>
      </c>
      <c r="E23" s="6">
        <f t="shared" ca="1" si="1"/>
        <v>-350</v>
      </c>
      <c r="F23" s="160">
        <v>42704</v>
      </c>
      <c r="G23" s="6">
        <f t="shared" ca="1" si="2"/>
        <v>-320</v>
      </c>
    </row>
    <row r="24" spans="2:8" x14ac:dyDescent="0.35">
      <c r="B24" s="163" t="s">
        <v>93</v>
      </c>
      <c r="C24" s="160">
        <v>42677</v>
      </c>
      <c r="D24" s="6">
        <f t="shared" si="0"/>
        <v>45</v>
      </c>
      <c r="E24" s="6">
        <f t="shared" ca="1" si="1"/>
        <v>-347</v>
      </c>
      <c r="F24" s="160">
        <v>42689</v>
      </c>
      <c r="G24" s="6">
        <f t="shared" ca="1" si="2"/>
        <v>-335</v>
      </c>
    </row>
    <row r="25" spans="2:8" x14ac:dyDescent="0.35">
      <c r="B25" t="s">
        <v>384</v>
      </c>
      <c r="C25" s="160">
        <v>42677</v>
      </c>
      <c r="D25" s="6">
        <f t="shared" si="0"/>
        <v>45</v>
      </c>
      <c r="E25" s="6">
        <f t="shared" ca="1" si="1"/>
        <v>-347</v>
      </c>
      <c r="F25" s="160">
        <v>42697</v>
      </c>
      <c r="G25" s="6">
        <f t="shared" ca="1" si="2"/>
        <v>-327</v>
      </c>
    </row>
    <row r="26" spans="2:8" x14ac:dyDescent="0.35">
      <c r="B26" t="s">
        <v>92</v>
      </c>
      <c r="C26" s="160">
        <v>42684</v>
      </c>
      <c r="D26" s="6">
        <f t="shared" si="0"/>
        <v>46</v>
      </c>
      <c r="E26" s="6">
        <f t="shared" ca="1" si="1"/>
        <v>-340</v>
      </c>
      <c r="F26" s="160">
        <v>42626</v>
      </c>
      <c r="G26" s="6">
        <f t="shared" ca="1" si="2"/>
        <v>-398</v>
      </c>
    </row>
    <row r="27" spans="2:8" x14ac:dyDescent="0.35">
      <c r="B27" t="s">
        <v>380</v>
      </c>
      <c r="C27" s="160">
        <v>42684</v>
      </c>
      <c r="D27" s="6">
        <f t="shared" si="0"/>
        <v>46</v>
      </c>
      <c r="E27" s="6">
        <f t="shared" ca="1" si="1"/>
        <v>-340</v>
      </c>
      <c r="F27" s="160">
        <v>42650</v>
      </c>
      <c r="G27" s="6">
        <f t="shared" ca="1" si="2"/>
        <v>-374</v>
      </c>
      <c r="H27" t="s">
        <v>381</v>
      </c>
    </row>
    <row r="28" spans="2:8" x14ac:dyDescent="0.35">
      <c r="B28" s="163" t="s">
        <v>370</v>
      </c>
      <c r="C28" s="160">
        <v>42690</v>
      </c>
      <c r="D28" s="6">
        <f t="shared" si="0"/>
        <v>47</v>
      </c>
      <c r="E28" s="6">
        <f t="shared" ca="1" si="1"/>
        <v>-334</v>
      </c>
      <c r="G28" s="6" t="str">
        <f t="shared" ca="1" si="2"/>
        <v/>
      </c>
    </row>
    <row r="29" spans="2:8" x14ac:dyDescent="0.35">
      <c r="B29" t="s">
        <v>385</v>
      </c>
      <c r="C29" s="160">
        <v>42690</v>
      </c>
      <c r="D29" s="6">
        <f t="shared" si="0"/>
        <v>47</v>
      </c>
      <c r="E29" s="6">
        <f t="shared" ca="1" si="1"/>
        <v>-334</v>
      </c>
      <c r="F29" s="160">
        <v>42646</v>
      </c>
      <c r="G29" s="6">
        <f t="shared" ca="1" si="2"/>
        <v>-378</v>
      </c>
    </row>
    <row r="30" spans="2:8" x14ac:dyDescent="0.35">
      <c r="B30" s="163" t="s">
        <v>117</v>
      </c>
      <c r="C30" s="160">
        <v>42691</v>
      </c>
      <c r="D30" s="6">
        <f t="shared" si="0"/>
        <v>47</v>
      </c>
      <c r="E30" s="6">
        <f t="shared" ca="1" si="1"/>
        <v>-333</v>
      </c>
      <c r="F30" s="160">
        <v>42711</v>
      </c>
      <c r="G30" s="6">
        <f t="shared" ca="1" si="2"/>
        <v>-313</v>
      </c>
    </row>
    <row r="31" spans="2:8" x14ac:dyDescent="0.35">
      <c r="B31" s="163" t="s">
        <v>373</v>
      </c>
      <c r="C31" s="160">
        <v>42705</v>
      </c>
      <c r="D31" s="6">
        <f t="shared" si="0"/>
        <v>49</v>
      </c>
      <c r="E31" s="6">
        <f t="shared" ca="1" si="1"/>
        <v>-319</v>
      </c>
      <c r="F31" s="160">
        <v>42684</v>
      </c>
      <c r="G31" s="6">
        <f t="shared" ca="1" si="2"/>
        <v>-340</v>
      </c>
    </row>
    <row r="33" spans="2:7" x14ac:dyDescent="0.35">
      <c r="B33" t="s">
        <v>0</v>
      </c>
      <c r="F33" s="160">
        <v>42629</v>
      </c>
      <c r="G33" s="6">
        <f ca="1">IF(LEN(F33)=0,"",F33-TODAY())</f>
        <v>-395</v>
      </c>
    </row>
  </sheetData>
  <autoFilter ref="B3:H31" xr:uid="{00000000-0009-0000-0000-000008000000}">
    <sortState ref="B4:H27">
      <sortCondition ref="E4:E27"/>
    </sortState>
  </autoFilter>
  <sortState ref="B4:J31">
    <sortCondition ref="E4:E31"/>
  </sortState>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Portofolio</vt:lpstr>
      <vt:lpstr>CostBasis</vt:lpstr>
      <vt:lpstr>OptionsPerformance</vt:lpstr>
      <vt:lpstr>OptionPremiumIncome_1</vt:lpstr>
      <vt:lpstr>Earnings&amp;Dividends</vt:lpstr>
      <vt:lpstr>BlackScholesModel</vt:lpstr>
      <vt:lpstr>OptionPremiumIncome_2_IRA</vt:lpstr>
      <vt:lpstr>OptionPremiumIncome_3_401K</vt:lpstr>
      <vt:lpstr>Earnings&amp;Dividends2016Q3</vt:lpstr>
      <vt:lpstr>VerticalSpread</vt:lpstr>
      <vt:lpstr>OptionSwapData</vt:lpstr>
      <vt:lpstr>OptionSwap</vt:lpstr>
      <vt:lpstr>NewCostBasis</vt:lpstr>
      <vt:lpstr>TimeValue_0</vt:lpstr>
      <vt:lpstr>TimeValue_1</vt:lpstr>
      <vt:lpstr>TimeValue_2</vt:lpstr>
      <vt:lpstr>TaxBracket</vt:lpstr>
      <vt:lpstr>CapitalGains</vt:lpstr>
      <vt:lpstr>TaxRate</vt:lpstr>
      <vt:lpstr>ScratchWork --&gt;</vt:lpstr>
      <vt:lpstr>ROI vs Time</vt:lpstr>
      <vt:lpstr>AAPL_Swap_Premium_vs_Time</vt:lpstr>
      <vt:lpstr>VZ_Premium_vs_Time</vt:lpstr>
      <vt:lpstr>OptionSentiment</vt:lpstr>
    </vt:vector>
  </TitlesOfParts>
  <Company>Ericsson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Christos Neophytou</dc:creator>
  <cp:lastModifiedBy>cneophytou</cp:lastModifiedBy>
  <dcterms:created xsi:type="dcterms:W3CDTF">2015-07-01T00:15:24Z</dcterms:created>
  <dcterms:modified xsi:type="dcterms:W3CDTF">2017-10-16T22:15:18Z</dcterms:modified>
</cp:coreProperties>
</file>