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_PERSONAL_DATA\00_NEW_BEGININGS\0_INVESTING_ETFs_SECURITY_ANALYSIS\0_TRADING_PERFORMANCE\"/>
    </mc:Choice>
  </mc:AlternateContent>
  <bookViews>
    <workbookView xWindow="0" yWindow="0" windowWidth="19200" windowHeight="7280" activeTab="3"/>
  </bookViews>
  <sheets>
    <sheet name="Pre-Retirement" sheetId="2" r:id="rId1"/>
    <sheet name="Post-Retirement" sheetId="3" r:id="rId2"/>
    <sheet name="Roth_vs_Standard_IRA" sheetId="4" r:id="rId3"/>
    <sheet name="Compound Interest Analysis" sheetId="1" r:id="rId4"/>
    <sheet name="TaxRate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B13" i="1"/>
  <c r="G22" i="2" l="1"/>
  <c r="F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22" i="2"/>
  <c r="E11" i="2"/>
  <c r="O13" i="2"/>
  <c r="O11" i="2"/>
  <c r="E22" i="2" l="1"/>
  <c r="G23" i="2" l="1"/>
  <c r="F23" i="2"/>
  <c r="O9" i="2" l="1"/>
  <c r="C41" i="6"/>
  <c r="C42" i="6" s="1"/>
  <c r="B41" i="6"/>
  <c r="H41" i="6" s="1"/>
  <c r="D40" i="6"/>
  <c r="I40" i="6" s="1"/>
  <c r="B40" i="6"/>
  <c r="H40" i="6" s="1"/>
  <c r="H39" i="6"/>
  <c r="F39" i="6"/>
  <c r="D39" i="6"/>
  <c r="I39" i="6" s="1"/>
  <c r="B39" i="6"/>
  <c r="I38" i="6"/>
  <c r="H38" i="6"/>
  <c r="D38" i="6"/>
  <c r="B38" i="6"/>
  <c r="F38" i="6" s="1"/>
  <c r="I37" i="6"/>
  <c r="D37" i="6"/>
  <c r="F37" i="6" s="1"/>
  <c r="B37" i="6"/>
  <c r="H37" i="6" s="1"/>
  <c r="L36" i="6"/>
  <c r="H36" i="6"/>
  <c r="F36" i="6"/>
  <c r="D36" i="6"/>
  <c r="I36" i="6" s="1"/>
  <c r="B36" i="6"/>
  <c r="I35" i="6"/>
  <c r="H35" i="6"/>
  <c r="D35" i="6"/>
  <c r="B35" i="6"/>
  <c r="F35" i="6" s="1"/>
  <c r="C10" i="6"/>
  <c r="B10" i="6" s="1"/>
  <c r="H10" i="6" s="1"/>
  <c r="C9" i="6"/>
  <c r="D9" i="6" s="1"/>
  <c r="I8" i="6"/>
  <c r="D8" i="6"/>
  <c r="F8" i="6" s="1"/>
  <c r="B8" i="6"/>
  <c r="H8" i="6" s="1"/>
  <c r="D7" i="6"/>
  <c r="I7" i="6" s="1"/>
  <c r="B7" i="6"/>
  <c r="H7" i="6" s="1"/>
  <c r="F6" i="6"/>
  <c r="D6" i="6"/>
  <c r="I6" i="6" s="1"/>
  <c r="B6" i="6"/>
  <c r="H6" i="6" s="1"/>
  <c r="H5" i="6"/>
  <c r="D5" i="6"/>
  <c r="F5" i="6" s="1"/>
  <c r="B5" i="6"/>
  <c r="F4" i="6"/>
  <c r="D4" i="6"/>
  <c r="B4" i="6"/>
  <c r="I1" i="6"/>
  <c r="I9" i="6" l="1"/>
  <c r="B42" i="6"/>
  <c r="H42" i="6" s="1"/>
  <c r="D42" i="6"/>
  <c r="C43" i="6"/>
  <c r="I5" i="6"/>
  <c r="F7" i="6"/>
  <c r="B9" i="6"/>
  <c r="H9" i="6" s="1"/>
  <c r="D10" i="6"/>
  <c r="F40" i="6"/>
  <c r="C11" i="6"/>
  <c r="D41" i="6"/>
  <c r="F9" i="6" l="1"/>
  <c r="F41" i="6"/>
  <c r="I41" i="6"/>
  <c r="I42" i="6"/>
  <c r="F42" i="6"/>
  <c r="D11" i="6"/>
  <c r="B11" i="6"/>
  <c r="H11" i="6" s="1"/>
  <c r="C12" i="6"/>
  <c r="I10" i="6"/>
  <c r="F10" i="6"/>
  <c r="C44" i="6"/>
  <c r="B43" i="6"/>
  <c r="H43" i="6" s="1"/>
  <c r="D43" i="6"/>
  <c r="B44" i="6" l="1"/>
  <c r="H44" i="6" s="1"/>
  <c r="D44" i="6"/>
  <c r="I11" i="6"/>
  <c r="F11" i="6"/>
  <c r="B12" i="6"/>
  <c r="H12" i="6" s="1"/>
  <c r="C13" i="6"/>
  <c r="D12" i="6"/>
  <c r="F43" i="6"/>
  <c r="I43" i="6"/>
  <c r="I12" i="6" l="1"/>
  <c r="F12" i="6"/>
  <c r="D13" i="6"/>
  <c r="B13" i="6"/>
  <c r="H13" i="6" s="1"/>
  <c r="C14" i="6"/>
  <c r="I44" i="6"/>
  <c r="F44" i="6"/>
  <c r="I13" i="6" l="1"/>
  <c r="F13" i="6"/>
  <c r="B14" i="6"/>
  <c r="H14" i="6" s="1"/>
  <c r="C15" i="6"/>
  <c r="D14" i="6"/>
  <c r="D15" i="6" l="1"/>
  <c r="B15" i="6"/>
  <c r="H15" i="6" s="1"/>
  <c r="C16" i="6"/>
  <c r="I14" i="6"/>
  <c r="F14" i="6"/>
  <c r="B16" i="6" l="1"/>
  <c r="H16" i="6" s="1"/>
  <c r="C17" i="6"/>
  <c r="D16" i="6"/>
  <c r="I15" i="6"/>
  <c r="F15" i="6"/>
  <c r="I16" i="6" l="1"/>
  <c r="F16" i="6"/>
  <c r="D17" i="6"/>
  <c r="B17" i="6"/>
  <c r="H17" i="6" s="1"/>
  <c r="C18" i="6"/>
  <c r="I17" i="6" l="1"/>
  <c r="F17" i="6"/>
  <c r="B18" i="6"/>
  <c r="H18" i="6" s="1"/>
  <c r="C19" i="6"/>
  <c r="D18" i="6"/>
  <c r="D19" i="6" l="1"/>
  <c r="B19" i="6"/>
  <c r="H19" i="6" s="1"/>
  <c r="C20" i="6"/>
  <c r="F18" i="6"/>
  <c r="I18" i="6"/>
  <c r="B20" i="6" l="1"/>
  <c r="H20" i="6" s="1"/>
  <c r="C21" i="6"/>
  <c r="D20" i="6"/>
  <c r="F19" i="6"/>
  <c r="I19" i="6"/>
  <c r="F20" i="6" l="1"/>
  <c r="I20" i="6"/>
  <c r="D21" i="6"/>
  <c r="C22" i="6"/>
  <c r="B21" i="6"/>
  <c r="H21" i="6" s="1"/>
  <c r="B22" i="6" l="1"/>
  <c r="H22" i="6" s="1"/>
  <c r="C23" i="6"/>
  <c r="D22" i="6"/>
  <c r="I21" i="6"/>
  <c r="F21" i="6"/>
  <c r="I22" i="6" l="1"/>
  <c r="F22" i="6"/>
  <c r="D23" i="6"/>
  <c r="C24" i="6"/>
  <c r="B23" i="6"/>
  <c r="H23" i="6" s="1"/>
  <c r="B24" i="6" l="1"/>
  <c r="H24" i="6" s="1"/>
  <c r="C25" i="6"/>
  <c r="D24" i="6"/>
  <c r="I23" i="6"/>
  <c r="F23" i="6"/>
  <c r="I24" i="6" l="1"/>
  <c r="F24" i="6"/>
  <c r="D25" i="6"/>
  <c r="B25" i="6"/>
  <c r="H25" i="6" s="1"/>
  <c r="C26" i="6"/>
  <c r="I25" i="6" l="1"/>
  <c r="F25" i="6"/>
  <c r="B26" i="6"/>
  <c r="H26" i="6" s="1"/>
  <c r="C27" i="6"/>
  <c r="D26" i="6"/>
  <c r="D27" i="6" l="1"/>
  <c r="B27" i="6"/>
  <c r="H27" i="6" s="1"/>
  <c r="C28" i="6"/>
  <c r="I26" i="6"/>
  <c r="F26" i="6"/>
  <c r="B28" i="6" l="1"/>
  <c r="H28" i="6" s="1"/>
  <c r="C29" i="6"/>
  <c r="D28" i="6"/>
  <c r="I27" i="6"/>
  <c r="F27" i="6"/>
  <c r="I28" i="6" l="1"/>
  <c r="F28" i="6"/>
  <c r="D29" i="6"/>
  <c r="B29" i="6"/>
  <c r="H29" i="6" s="1"/>
  <c r="C30" i="6"/>
  <c r="I29" i="6" l="1"/>
  <c r="F29" i="6"/>
  <c r="B30" i="6"/>
  <c r="H30" i="6" s="1"/>
  <c r="C31" i="6"/>
  <c r="D30" i="6"/>
  <c r="D31" i="6" l="1"/>
  <c r="C32" i="6"/>
  <c r="B31" i="6"/>
  <c r="H31" i="6" s="1"/>
  <c r="I30" i="6"/>
  <c r="F30" i="6"/>
  <c r="B32" i="6" l="1"/>
  <c r="H32" i="6" s="1"/>
  <c r="C33" i="6"/>
  <c r="D32" i="6"/>
  <c r="I31" i="6"/>
  <c r="F31" i="6"/>
  <c r="I32" i="6" l="1"/>
  <c r="F32" i="6"/>
  <c r="D33" i="6"/>
  <c r="C34" i="6"/>
  <c r="B33" i="6"/>
  <c r="H33" i="6" s="1"/>
  <c r="B34" i="6" l="1"/>
  <c r="H34" i="6" s="1"/>
  <c r="D34" i="6"/>
  <c r="I33" i="6"/>
  <c r="F33" i="6"/>
  <c r="I34" i="6" l="1"/>
  <c r="F34" i="6"/>
  <c r="E11" i="3" l="1"/>
  <c r="F11" i="3" s="1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1" i="3"/>
  <c r="F21" i="3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H41" i="3" s="1"/>
  <c r="C6" i="1"/>
  <c r="C5" i="1"/>
  <c r="C4" i="1"/>
  <c r="E40" i="3"/>
  <c r="E41" i="3" s="1"/>
  <c r="E22" i="3"/>
  <c r="E23" i="3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21" i="3"/>
  <c r="I4" i="1"/>
  <c r="J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H20" i="1" s="1"/>
  <c r="E4" i="1"/>
  <c r="G4" i="1" s="1"/>
  <c r="P4" i="1"/>
  <c r="N4" i="1"/>
  <c r="S4" i="1" s="1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43" i="2"/>
  <c r="L22" i="2"/>
  <c r="J22" i="2"/>
  <c r="D22" i="2"/>
  <c r="E10" i="2"/>
  <c r="E9" i="2"/>
  <c r="E8" i="2"/>
  <c r="O8" i="2" s="1"/>
  <c r="Q25" i="2" l="1"/>
  <c r="Q29" i="2"/>
  <c r="Q33" i="2"/>
  <c r="Q37" i="2"/>
  <c r="Q41" i="2"/>
  <c r="Q45" i="2"/>
  <c r="Q49" i="2"/>
  <c r="Q53" i="2"/>
  <c r="Q57" i="2"/>
  <c r="Q61" i="2"/>
  <c r="Q26" i="2"/>
  <c r="Q30" i="2"/>
  <c r="Q34" i="2"/>
  <c r="Q38" i="2"/>
  <c r="Q42" i="2"/>
  <c r="Q46" i="2"/>
  <c r="Q50" i="2"/>
  <c r="Q54" i="2"/>
  <c r="Q58" i="2"/>
  <c r="Q22" i="2"/>
  <c r="Q23" i="2"/>
  <c r="Q27" i="2"/>
  <c r="Q31" i="2"/>
  <c r="Q35" i="2"/>
  <c r="Q39" i="2"/>
  <c r="Q43" i="2"/>
  <c r="Q47" i="2"/>
  <c r="Q51" i="2"/>
  <c r="Q55" i="2"/>
  <c r="Q59" i="2"/>
  <c r="Q24" i="2"/>
  <c r="Q28" i="2"/>
  <c r="Q32" i="2"/>
  <c r="Q36" i="2"/>
  <c r="Q40" i="2"/>
  <c r="Q44" i="2"/>
  <c r="Q48" i="2"/>
  <c r="Q52" i="2"/>
  <c r="Q56" i="2"/>
  <c r="Q60" i="2"/>
  <c r="O14" i="2"/>
  <c r="O10" i="2"/>
  <c r="H40" i="3"/>
  <c r="H36" i="3"/>
  <c r="H32" i="3"/>
  <c r="H28" i="3"/>
  <c r="H24" i="3"/>
  <c r="H39" i="3"/>
  <c r="H35" i="3"/>
  <c r="H31" i="3"/>
  <c r="H27" i="3"/>
  <c r="H23" i="3"/>
  <c r="H21" i="3"/>
  <c r="H38" i="3"/>
  <c r="H34" i="3"/>
  <c r="H30" i="3"/>
  <c r="H26" i="3"/>
  <c r="H22" i="3"/>
  <c r="H37" i="3"/>
  <c r="H33" i="3"/>
  <c r="H29" i="3"/>
  <c r="H25" i="3"/>
  <c r="O4" i="1"/>
  <c r="R4" i="1"/>
  <c r="F4" i="1"/>
  <c r="H4" i="1"/>
  <c r="K20" i="1"/>
  <c r="G20" i="1"/>
  <c r="I19" i="1"/>
  <c r="K18" i="1"/>
  <c r="G18" i="1"/>
  <c r="I17" i="1"/>
  <c r="K16" i="1"/>
  <c r="G16" i="1"/>
  <c r="I15" i="1"/>
  <c r="K14" i="1"/>
  <c r="G14" i="1"/>
  <c r="I13" i="1"/>
  <c r="K12" i="1"/>
  <c r="G12" i="1"/>
  <c r="I11" i="1"/>
  <c r="K10" i="1"/>
  <c r="G10" i="1"/>
  <c r="I9" i="1"/>
  <c r="K8" i="1"/>
  <c r="G8" i="1"/>
  <c r="I7" i="1"/>
  <c r="K6" i="1"/>
  <c r="G6" i="1"/>
  <c r="I5" i="1"/>
  <c r="N5" i="1"/>
  <c r="Q4" i="1"/>
  <c r="T4" i="1"/>
  <c r="K4" i="1"/>
  <c r="J20" i="1"/>
  <c r="F20" i="1"/>
  <c r="H19" i="1"/>
  <c r="J18" i="1"/>
  <c r="F18" i="1"/>
  <c r="H17" i="1"/>
  <c r="J16" i="1"/>
  <c r="F16" i="1"/>
  <c r="H15" i="1"/>
  <c r="J14" i="1"/>
  <c r="F14" i="1"/>
  <c r="H13" i="1"/>
  <c r="J12" i="1"/>
  <c r="F12" i="1"/>
  <c r="H11" i="1"/>
  <c r="J10" i="1"/>
  <c r="F10" i="1"/>
  <c r="H9" i="1"/>
  <c r="J8" i="1"/>
  <c r="F8" i="1"/>
  <c r="H7" i="1"/>
  <c r="J6" i="1"/>
  <c r="F6" i="1"/>
  <c r="H5" i="1"/>
  <c r="I20" i="1"/>
  <c r="K19" i="1"/>
  <c r="G19" i="1"/>
  <c r="I18" i="1"/>
  <c r="K17" i="1"/>
  <c r="G17" i="1"/>
  <c r="I16" i="1"/>
  <c r="K15" i="1"/>
  <c r="G15" i="1"/>
  <c r="I14" i="1"/>
  <c r="K13" i="1"/>
  <c r="G13" i="1"/>
  <c r="I12" i="1"/>
  <c r="K11" i="1"/>
  <c r="G11" i="1"/>
  <c r="I10" i="1"/>
  <c r="K9" i="1"/>
  <c r="G9" i="1"/>
  <c r="I8" i="1"/>
  <c r="K7" i="1"/>
  <c r="G7" i="1"/>
  <c r="I6" i="1"/>
  <c r="K5" i="1"/>
  <c r="G5" i="1"/>
  <c r="E21" i="1"/>
  <c r="J19" i="1"/>
  <c r="F19" i="1"/>
  <c r="H18" i="1"/>
  <c r="J17" i="1"/>
  <c r="F17" i="1"/>
  <c r="H16" i="1"/>
  <c r="J15" i="1"/>
  <c r="F15" i="1"/>
  <c r="H14" i="1"/>
  <c r="J13" i="1"/>
  <c r="F13" i="1"/>
  <c r="H12" i="1"/>
  <c r="J11" i="1"/>
  <c r="F11" i="1"/>
  <c r="H10" i="1"/>
  <c r="J9" i="1"/>
  <c r="F9" i="1"/>
  <c r="H8" i="1"/>
  <c r="J7" i="1"/>
  <c r="F7" i="1"/>
  <c r="H6" i="1"/>
  <c r="J5" i="1"/>
  <c r="F5" i="1"/>
  <c r="D23" i="2"/>
  <c r="K22" i="2"/>
  <c r="S25" i="2" l="1"/>
  <c r="S29" i="2"/>
  <c r="S33" i="2"/>
  <c r="S37" i="2"/>
  <c r="S41" i="2"/>
  <c r="S45" i="2"/>
  <c r="S49" i="2"/>
  <c r="S53" i="2"/>
  <c r="S57" i="2"/>
  <c r="S61" i="2"/>
  <c r="S26" i="2"/>
  <c r="S30" i="2"/>
  <c r="S34" i="2"/>
  <c r="S38" i="2"/>
  <c r="S42" i="2"/>
  <c r="S46" i="2"/>
  <c r="S50" i="2"/>
  <c r="S54" i="2"/>
  <c r="S58" i="2"/>
  <c r="S22" i="2"/>
  <c r="S23" i="2"/>
  <c r="S27" i="2"/>
  <c r="S31" i="2"/>
  <c r="S35" i="2"/>
  <c r="S39" i="2"/>
  <c r="S43" i="2"/>
  <c r="S47" i="2"/>
  <c r="S51" i="2"/>
  <c r="S55" i="2"/>
  <c r="S59" i="2"/>
  <c r="S24" i="2"/>
  <c r="S28" i="2"/>
  <c r="S32" i="2"/>
  <c r="S36" i="2"/>
  <c r="S40" i="2"/>
  <c r="S44" i="2"/>
  <c r="S48" i="2"/>
  <c r="S52" i="2"/>
  <c r="S56" i="2"/>
  <c r="S60" i="2"/>
  <c r="O12" i="2"/>
  <c r="R24" i="2"/>
  <c r="R40" i="2"/>
  <c r="R56" i="2"/>
  <c r="R33" i="2"/>
  <c r="R49" i="2"/>
  <c r="N22" i="2"/>
  <c r="R38" i="2"/>
  <c r="R54" i="2"/>
  <c r="R27" i="2"/>
  <c r="R43" i="2"/>
  <c r="R59" i="2"/>
  <c r="N32" i="2"/>
  <c r="N48" i="2"/>
  <c r="N29" i="2"/>
  <c r="N45" i="2"/>
  <c r="N61" i="2"/>
  <c r="N34" i="2"/>
  <c r="N50" i="2"/>
  <c r="N31" i="2"/>
  <c r="O31" i="2" s="1"/>
  <c r="N47" i="2"/>
  <c r="R28" i="2"/>
  <c r="R44" i="2"/>
  <c r="R60" i="2"/>
  <c r="R37" i="2"/>
  <c r="R53" i="2"/>
  <c r="R26" i="2"/>
  <c r="R42" i="2"/>
  <c r="R58" i="2"/>
  <c r="R31" i="2"/>
  <c r="R47" i="2"/>
  <c r="N23" i="2"/>
  <c r="O23" i="2" s="1"/>
  <c r="N36" i="2"/>
  <c r="N52" i="2"/>
  <c r="N33" i="2"/>
  <c r="N49" i="2"/>
  <c r="N25" i="2"/>
  <c r="N38" i="2"/>
  <c r="N54" i="2"/>
  <c r="N35" i="2"/>
  <c r="N51" i="2"/>
  <c r="R32" i="2"/>
  <c r="R48" i="2"/>
  <c r="R25" i="2"/>
  <c r="R41" i="2"/>
  <c r="R57" i="2"/>
  <c r="R30" i="2"/>
  <c r="R46" i="2"/>
  <c r="R22" i="2"/>
  <c r="R35" i="2"/>
  <c r="R51" i="2"/>
  <c r="N24" i="2"/>
  <c r="O24" i="2" s="1"/>
  <c r="N40" i="2"/>
  <c r="N56" i="2"/>
  <c r="N37" i="2"/>
  <c r="N53" i="2"/>
  <c r="N26" i="2"/>
  <c r="N42" i="2"/>
  <c r="N58" i="2"/>
  <c r="N39" i="2"/>
  <c r="N55" i="2"/>
  <c r="R36" i="2"/>
  <c r="R52" i="2"/>
  <c r="R29" i="2"/>
  <c r="R45" i="2"/>
  <c r="R61" i="2"/>
  <c r="R34" i="2"/>
  <c r="R50" i="2"/>
  <c r="R23" i="2"/>
  <c r="R39" i="2"/>
  <c r="R55" i="2"/>
  <c r="N28" i="2"/>
  <c r="N44" i="2"/>
  <c r="N60" i="2"/>
  <c r="N41" i="2"/>
  <c r="N57" i="2"/>
  <c r="N30" i="2"/>
  <c r="O30" i="2" s="1"/>
  <c r="O42" i="2" s="1"/>
  <c r="O54" i="2" s="1"/>
  <c r="N46" i="2"/>
  <c r="N27" i="2"/>
  <c r="N43" i="2"/>
  <c r="O43" i="2" s="1"/>
  <c r="N59" i="2"/>
  <c r="O32" i="2"/>
  <c r="O15" i="2"/>
  <c r="O28" i="2"/>
  <c r="O27" i="2"/>
  <c r="O22" i="2"/>
  <c r="O33" i="2" s="1"/>
  <c r="O29" i="2"/>
  <c r="O26" i="2"/>
  <c r="O38" i="2" s="1"/>
  <c r="O50" i="2" s="1"/>
  <c r="O25" i="2"/>
  <c r="O36" i="2" s="1"/>
  <c r="E22" i="1"/>
  <c r="F21" i="1"/>
  <c r="J21" i="1"/>
  <c r="G21" i="1"/>
  <c r="K21" i="1"/>
  <c r="H21" i="1"/>
  <c r="I21" i="1"/>
  <c r="N6" i="1"/>
  <c r="R5" i="1"/>
  <c r="O5" i="1"/>
  <c r="S5" i="1"/>
  <c r="P5" i="1"/>
  <c r="T5" i="1"/>
  <c r="Q5" i="1"/>
  <c r="E23" i="2"/>
  <c r="D24" i="2"/>
  <c r="J23" i="2" l="1"/>
  <c r="G24" i="2"/>
  <c r="F24" i="2"/>
  <c r="O39" i="2"/>
  <c r="O37" i="2"/>
  <c r="O49" i="2" s="1"/>
  <c r="O61" i="2" s="1"/>
  <c r="O41" i="2"/>
  <c r="O53" i="2" s="1"/>
  <c r="O44" i="2"/>
  <c r="O55" i="2" s="1"/>
  <c r="O35" i="2"/>
  <c r="O47" i="2" s="1"/>
  <c r="O34" i="2"/>
  <c r="O46" i="2" s="1"/>
  <c r="O58" i="2" s="1"/>
  <c r="O40" i="2"/>
  <c r="N7" i="1"/>
  <c r="S6" i="1"/>
  <c r="P6" i="1"/>
  <c r="T6" i="1"/>
  <c r="Q6" i="1"/>
  <c r="R6" i="1"/>
  <c r="O6" i="1"/>
  <c r="E23" i="1"/>
  <c r="H22" i="1"/>
  <c r="I22" i="1"/>
  <c r="F22" i="1"/>
  <c r="J22" i="1"/>
  <c r="G22" i="1"/>
  <c r="K22" i="1"/>
  <c r="D25" i="2"/>
  <c r="E24" i="2"/>
  <c r="G25" i="2" l="1"/>
  <c r="F25" i="2"/>
  <c r="O45" i="2"/>
  <c r="O57" i="2" s="1"/>
  <c r="O52" i="2"/>
  <c r="O51" i="2"/>
  <c r="O48" i="2"/>
  <c r="O60" i="2" s="1"/>
  <c r="F23" i="1"/>
  <c r="J23" i="1"/>
  <c r="G23" i="1"/>
  <c r="K23" i="1"/>
  <c r="H23" i="1"/>
  <c r="I23" i="1"/>
  <c r="N8" i="1"/>
  <c r="T7" i="1"/>
  <c r="Q7" i="1"/>
  <c r="R7" i="1"/>
  <c r="O7" i="1"/>
  <c r="S7" i="1"/>
  <c r="P7" i="1"/>
  <c r="J24" i="2"/>
  <c r="L23" i="2" s="1"/>
  <c r="K23" i="2"/>
  <c r="D26" i="2"/>
  <c r="E25" i="2"/>
  <c r="F26" i="2" l="1"/>
  <c r="G26" i="2"/>
  <c r="O56" i="2"/>
  <c r="O59" i="2"/>
  <c r="N9" i="1"/>
  <c r="R8" i="1"/>
  <c r="O8" i="1"/>
  <c r="S8" i="1"/>
  <c r="P8" i="1"/>
  <c r="T8" i="1"/>
  <c r="Q8" i="1"/>
  <c r="J25" i="2"/>
  <c r="L24" i="2" s="1"/>
  <c r="K24" i="2"/>
  <c r="D27" i="2"/>
  <c r="E26" i="2"/>
  <c r="G27" i="2" l="1"/>
  <c r="F27" i="2"/>
  <c r="N10" i="1"/>
  <c r="R9" i="1"/>
  <c r="O9" i="1"/>
  <c r="S9" i="1"/>
  <c r="P9" i="1"/>
  <c r="T9" i="1"/>
  <c r="Q9" i="1"/>
  <c r="J26" i="2"/>
  <c r="L25" i="2" s="1"/>
  <c r="K25" i="2"/>
  <c r="E27" i="2"/>
  <c r="D28" i="2"/>
  <c r="G28" i="2" l="1"/>
  <c r="F28" i="2"/>
  <c r="N11" i="1"/>
  <c r="S10" i="1"/>
  <c r="P10" i="1"/>
  <c r="T10" i="1"/>
  <c r="Q10" i="1"/>
  <c r="R10" i="1"/>
  <c r="O10" i="1"/>
  <c r="J27" i="2"/>
  <c r="L26" i="2" s="1"/>
  <c r="K26" i="2"/>
  <c r="D29" i="2"/>
  <c r="E28" i="2"/>
  <c r="G29" i="2" l="1"/>
  <c r="F29" i="2"/>
  <c r="N12" i="1"/>
  <c r="T11" i="1"/>
  <c r="Q11" i="1"/>
  <c r="R11" i="1"/>
  <c r="O11" i="1"/>
  <c r="S11" i="1"/>
  <c r="P11" i="1"/>
  <c r="J28" i="2"/>
  <c r="L27" i="2" s="1"/>
  <c r="K27" i="2"/>
  <c r="E29" i="2"/>
  <c r="D30" i="2"/>
  <c r="F30" i="2" l="1"/>
  <c r="G30" i="2"/>
  <c r="N13" i="1"/>
  <c r="R12" i="1"/>
  <c r="O12" i="1"/>
  <c r="S12" i="1"/>
  <c r="P12" i="1"/>
  <c r="T12" i="1"/>
  <c r="Q12" i="1"/>
  <c r="J29" i="2"/>
  <c r="L28" i="2" s="1"/>
  <c r="K28" i="2"/>
  <c r="D31" i="2"/>
  <c r="E30" i="2"/>
  <c r="G31" i="2" l="1"/>
  <c r="F31" i="2"/>
  <c r="N14" i="1"/>
  <c r="R13" i="1"/>
  <c r="O13" i="1"/>
  <c r="S13" i="1"/>
  <c r="P13" i="1"/>
  <c r="T13" i="1"/>
  <c r="Q13" i="1"/>
  <c r="J30" i="2"/>
  <c r="L29" i="2" s="1"/>
  <c r="K29" i="2"/>
  <c r="E31" i="2"/>
  <c r="D32" i="2"/>
  <c r="G32" i="2" l="1"/>
  <c r="F32" i="2"/>
  <c r="N15" i="1"/>
  <c r="S14" i="1"/>
  <c r="P14" i="1"/>
  <c r="T14" i="1"/>
  <c r="Q14" i="1"/>
  <c r="R14" i="1"/>
  <c r="O14" i="1"/>
  <c r="J31" i="2"/>
  <c r="L30" i="2" s="1"/>
  <c r="K30" i="2"/>
  <c r="D33" i="2"/>
  <c r="E32" i="2"/>
  <c r="G33" i="2" l="1"/>
  <c r="F33" i="2"/>
  <c r="N16" i="1"/>
  <c r="T15" i="1"/>
  <c r="Q15" i="1"/>
  <c r="R15" i="1"/>
  <c r="O15" i="1"/>
  <c r="S15" i="1"/>
  <c r="P15" i="1"/>
  <c r="E33" i="2"/>
  <c r="D34" i="2"/>
  <c r="J32" i="2"/>
  <c r="L31" i="2" s="1"/>
  <c r="K31" i="2"/>
  <c r="F34" i="2" l="1"/>
  <c r="G34" i="2"/>
  <c r="R16" i="1"/>
  <c r="O16" i="1"/>
  <c r="N17" i="1"/>
  <c r="S16" i="1"/>
  <c r="P16" i="1"/>
  <c r="T16" i="1"/>
  <c r="Q16" i="1"/>
  <c r="D35" i="2"/>
  <c r="E34" i="2"/>
  <c r="J33" i="2"/>
  <c r="L32" i="2" s="1"/>
  <c r="K32" i="2"/>
  <c r="G35" i="2" l="1"/>
  <c r="F35" i="2"/>
  <c r="N18" i="1"/>
  <c r="R17" i="1"/>
  <c r="O17" i="1"/>
  <c r="S17" i="1"/>
  <c r="P17" i="1"/>
  <c r="T17" i="1"/>
  <c r="Q17" i="1"/>
  <c r="E35" i="2"/>
  <c r="D36" i="2"/>
  <c r="J34" i="2"/>
  <c r="L33" i="2" s="1"/>
  <c r="K33" i="2"/>
  <c r="G36" i="2" l="1"/>
  <c r="F36" i="2"/>
  <c r="S18" i="1"/>
  <c r="P18" i="1"/>
  <c r="N19" i="1"/>
  <c r="T18" i="1"/>
  <c r="Q18" i="1"/>
  <c r="R18" i="1"/>
  <c r="O18" i="1"/>
  <c r="D37" i="2"/>
  <c r="E36" i="2"/>
  <c r="J35" i="2"/>
  <c r="L34" i="2" s="1"/>
  <c r="K34" i="2"/>
  <c r="G37" i="2" l="1"/>
  <c r="F37" i="2"/>
  <c r="N20" i="1"/>
  <c r="T19" i="1"/>
  <c r="Q19" i="1"/>
  <c r="R19" i="1"/>
  <c r="O19" i="1"/>
  <c r="S19" i="1"/>
  <c r="P19" i="1"/>
  <c r="J36" i="2"/>
  <c r="L35" i="2" s="1"/>
  <c r="K35" i="2"/>
  <c r="E37" i="2"/>
  <c r="D38" i="2"/>
  <c r="F38" i="2" l="1"/>
  <c r="G38" i="2"/>
  <c r="N21" i="1"/>
  <c r="R20" i="1"/>
  <c r="O20" i="1"/>
  <c r="S20" i="1"/>
  <c r="P20" i="1"/>
  <c r="T20" i="1"/>
  <c r="Q20" i="1"/>
  <c r="J37" i="2"/>
  <c r="L36" i="2" s="1"/>
  <c r="K36" i="2"/>
  <c r="D39" i="2"/>
  <c r="E38" i="2"/>
  <c r="G39" i="2" l="1"/>
  <c r="F39" i="2"/>
  <c r="N22" i="1"/>
  <c r="R21" i="1"/>
  <c r="O21" i="1"/>
  <c r="S21" i="1"/>
  <c r="P21" i="1"/>
  <c r="T21" i="1"/>
  <c r="Q21" i="1"/>
  <c r="E39" i="2"/>
  <c r="D40" i="2"/>
  <c r="J38" i="2"/>
  <c r="L37" i="2" s="1"/>
  <c r="K37" i="2"/>
  <c r="G40" i="2" l="1"/>
  <c r="F40" i="2"/>
  <c r="N23" i="1"/>
  <c r="S22" i="1"/>
  <c r="P22" i="1"/>
  <c r="T22" i="1"/>
  <c r="Q22" i="1"/>
  <c r="R22" i="1"/>
  <c r="O22" i="1"/>
  <c r="D41" i="2"/>
  <c r="E40" i="2"/>
  <c r="J39" i="2"/>
  <c r="L38" i="2" s="1"/>
  <c r="K38" i="2"/>
  <c r="G41" i="2" l="1"/>
  <c r="F41" i="2"/>
  <c r="T23" i="1"/>
  <c r="Q23" i="1"/>
  <c r="R23" i="1"/>
  <c r="O23" i="1"/>
  <c r="S23" i="1"/>
  <c r="P23" i="1"/>
  <c r="E41" i="2"/>
  <c r="D42" i="2"/>
  <c r="J40" i="2"/>
  <c r="L39" i="2" s="1"/>
  <c r="K39" i="2"/>
  <c r="F42" i="2" l="1"/>
  <c r="G42" i="2"/>
  <c r="E42" i="2"/>
  <c r="J41" i="2"/>
  <c r="L40" i="2" s="1"/>
  <c r="K40" i="2"/>
  <c r="G43" i="2" l="1"/>
  <c r="F43" i="2"/>
  <c r="E43" i="2"/>
  <c r="J42" i="2"/>
  <c r="L41" i="2" s="1"/>
  <c r="K41" i="2"/>
  <c r="G44" i="2" l="1"/>
  <c r="F44" i="2"/>
  <c r="E44" i="2"/>
  <c r="J43" i="2"/>
  <c r="L42" i="2" s="1"/>
  <c r="K42" i="2"/>
  <c r="K43" i="2" l="1"/>
  <c r="G45" i="2"/>
  <c r="F45" i="2"/>
  <c r="E45" i="2"/>
  <c r="J44" i="2"/>
  <c r="L43" i="2" s="1"/>
  <c r="F46" i="2" l="1"/>
  <c r="G46" i="2"/>
  <c r="E46" i="2"/>
  <c r="J45" i="2"/>
  <c r="L44" i="2" s="1"/>
  <c r="K44" i="2"/>
  <c r="G47" i="2" l="1"/>
  <c r="F47" i="2"/>
  <c r="E47" i="2"/>
  <c r="J46" i="2"/>
  <c r="L45" i="2" s="1"/>
  <c r="K45" i="2"/>
  <c r="G48" i="2" l="1"/>
  <c r="F48" i="2"/>
  <c r="J47" i="2"/>
  <c r="L46" i="2" s="1"/>
  <c r="E48" i="2"/>
  <c r="K46" i="2"/>
  <c r="G49" i="2" l="1"/>
  <c r="F49" i="2"/>
  <c r="E49" i="2"/>
  <c r="J48" i="2"/>
  <c r="L47" i="2" s="1"/>
  <c r="K47" i="2"/>
  <c r="F50" i="2" l="1"/>
  <c r="G50" i="2"/>
  <c r="J49" i="2"/>
  <c r="L48" i="2" s="1"/>
  <c r="E50" i="2"/>
  <c r="K48" i="2"/>
  <c r="G51" i="2" l="1"/>
  <c r="F51" i="2"/>
  <c r="E51" i="2"/>
  <c r="J50" i="2"/>
  <c r="L49" i="2" s="1"/>
  <c r="K49" i="2"/>
  <c r="G52" i="2" l="1"/>
  <c r="F52" i="2"/>
  <c r="J51" i="2"/>
  <c r="L50" i="2" s="1"/>
  <c r="E52" i="2"/>
  <c r="K50" i="2"/>
  <c r="G53" i="2" l="1"/>
  <c r="F53" i="2"/>
  <c r="E53" i="2"/>
  <c r="J52" i="2"/>
  <c r="L51" i="2" s="1"/>
  <c r="K51" i="2"/>
  <c r="F54" i="2" l="1"/>
  <c r="G54" i="2"/>
  <c r="J53" i="2"/>
  <c r="L52" i="2" s="1"/>
  <c r="E54" i="2"/>
  <c r="K52" i="2"/>
  <c r="G55" i="2" l="1"/>
  <c r="F55" i="2"/>
  <c r="E55" i="2"/>
  <c r="J54" i="2"/>
  <c r="L53" i="2" s="1"/>
  <c r="K53" i="2"/>
  <c r="G56" i="2" l="1"/>
  <c r="F56" i="2"/>
  <c r="J55" i="2"/>
  <c r="L54" i="2" s="1"/>
  <c r="E56" i="2"/>
  <c r="K54" i="2"/>
  <c r="G57" i="2" l="1"/>
  <c r="F57" i="2"/>
  <c r="E57" i="2"/>
  <c r="J56" i="2"/>
  <c r="L55" i="2" s="1"/>
  <c r="K55" i="2"/>
  <c r="F58" i="2" l="1"/>
  <c r="G58" i="2"/>
  <c r="J57" i="2"/>
  <c r="L56" i="2" s="1"/>
  <c r="E58" i="2"/>
  <c r="K56" i="2"/>
  <c r="G59" i="2" l="1"/>
  <c r="F59" i="2"/>
  <c r="E59" i="2"/>
  <c r="J58" i="2"/>
  <c r="L57" i="2" s="1"/>
  <c r="K57" i="2"/>
  <c r="G60" i="2" l="1"/>
  <c r="F60" i="2"/>
  <c r="J59" i="2"/>
  <c r="L58" i="2" s="1"/>
  <c r="E60" i="2"/>
  <c r="K58" i="2"/>
  <c r="G61" i="2" l="1"/>
  <c r="F61" i="2"/>
  <c r="E61" i="2"/>
  <c r="J60" i="2"/>
  <c r="L59" i="2" s="1"/>
  <c r="K59" i="2"/>
  <c r="F62" i="2" l="1"/>
  <c r="G62" i="2"/>
  <c r="J61" i="2"/>
  <c r="L60" i="2" s="1"/>
  <c r="E62" i="2"/>
  <c r="K60" i="2"/>
  <c r="J62" i="2" l="1"/>
  <c r="L61" i="2" s="1"/>
  <c r="K61" i="2"/>
  <c r="K62" i="2"/>
</calcChain>
</file>

<file path=xl/sharedStrings.xml><?xml version="1.0" encoding="utf-8"?>
<sst xmlns="http://schemas.openxmlformats.org/spreadsheetml/2006/main" count="112" uniqueCount="101">
  <si>
    <t>Current Expenses/year</t>
  </si>
  <si>
    <t>Eo</t>
  </si>
  <si>
    <t>Initial Capital</t>
  </si>
  <si>
    <t>Po</t>
  </si>
  <si>
    <t>Annual Income</t>
  </si>
  <si>
    <t>Io</t>
  </si>
  <si>
    <t>Inflation Rate</t>
  </si>
  <si>
    <t>alpha</t>
  </si>
  <si>
    <t>Return on Investment (Liquid)</t>
  </si>
  <si>
    <t>r</t>
  </si>
  <si>
    <t>Effective Tax Rate</t>
  </si>
  <si>
    <t>t</t>
  </si>
  <si>
    <t>Effective ROI (after taxes)</t>
  </si>
  <si>
    <t>r*(1-t)</t>
  </si>
  <si>
    <t>Eo/Po</t>
  </si>
  <si>
    <t>Eo/Po/(1-t)</t>
  </si>
  <si>
    <t>key metric</t>
  </si>
  <si>
    <t>the 2nd derivative of Pk, i.e. d2Pk/dk2 needs to be &gt; 0</t>
  </si>
  <si>
    <t>tax rate as a function of r*Po+Io      Io+r*Pk-1</t>
  </si>
  <si>
    <t>Year k</t>
  </si>
  <si>
    <t>Capital Pk</t>
  </si>
  <si>
    <t>r*Pk-1</t>
  </si>
  <si>
    <t>r*(1-t)*Pk-1</t>
  </si>
  <si>
    <t>Ek</t>
  </si>
  <si>
    <t>Pk/Po</t>
  </si>
  <si>
    <t>dPk</t>
  </si>
  <si>
    <t>%dPk</t>
  </si>
  <si>
    <t>Ek/Eo</t>
  </si>
  <si>
    <t>N</t>
  </si>
  <si>
    <t>r(ROI)</t>
  </si>
  <si>
    <t>2x</t>
  </si>
  <si>
    <t>3x</t>
  </si>
  <si>
    <t>4x</t>
  </si>
  <si>
    <t># of Years to make Double/Triple/Quadruple</t>
  </si>
  <si>
    <t>Approximation</t>
  </si>
  <si>
    <t>Total ROI after N years vs Annual ROI</t>
  </si>
  <si>
    <t>IRA Capital No years before retirement</t>
  </si>
  <si>
    <t>rb</t>
  </si>
  <si>
    <t>Annual Return of Investment BEFORE Retirement</t>
  </si>
  <si>
    <t>Annual Return of Investment AFTER Retirement</t>
  </si>
  <si>
    <t>ra</t>
  </si>
  <si>
    <t>Current Expenses</t>
  </si>
  <si>
    <t>IRAo</t>
  </si>
  <si>
    <t>Tax Rate</t>
  </si>
  <si>
    <t>SSN Income (Monthly)</t>
  </si>
  <si>
    <t>SSN</t>
  </si>
  <si>
    <t>Capital Saved until Retirement</t>
  </si>
  <si>
    <t>P(k=No)</t>
  </si>
  <si>
    <t>No</t>
  </si>
  <si>
    <t>Year n</t>
  </si>
  <si>
    <t>Capital Cn</t>
  </si>
  <si>
    <t># of Years till 70 (years till you start pulling from IRA)</t>
  </si>
  <si>
    <t>Total ROI After N years</t>
  </si>
  <si>
    <t>ROI_total</t>
  </si>
  <si>
    <t># of Years of Investment</t>
  </si>
  <si>
    <t>Approximation formulae</t>
  </si>
  <si>
    <t>Annual ROI (due to Compound)</t>
  </si>
  <si>
    <t>Annual ROI (Simple Interest)</t>
  </si>
  <si>
    <t>r_simple</t>
  </si>
  <si>
    <t>En</t>
  </si>
  <si>
    <t>Cn/Co</t>
  </si>
  <si>
    <t>IRA Capital at 70 (after No years)</t>
  </si>
  <si>
    <t>IRA_No</t>
  </si>
  <si>
    <t>Year 2014</t>
  </si>
  <si>
    <t>SINGLE</t>
  </si>
  <si>
    <t>a2</t>
  </si>
  <si>
    <t>a1</t>
  </si>
  <si>
    <t>a0</t>
  </si>
  <si>
    <t>Income - 10K</t>
  </si>
  <si>
    <t>Income</t>
  </si>
  <si>
    <t>Income Tax Rate</t>
  </si>
  <si>
    <t>Tax</t>
  </si>
  <si>
    <t>ln(x)</t>
  </si>
  <si>
    <t>ln(y)</t>
  </si>
  <si>
    <t>Add option to use tax rate model vs fixed tax rate</t>
  </si>
  <si>
    <t>Pk (Analytical)</t>
  </si>
  <si>
    <t>Model Parameters</t>
  </si>
  <si>
    <t>a</t>
  </si>
  <si>
    <t>b</t>
  </si>
  <si>
    <t>Pk/Po (Analytical)</t>
  </si>
  <si>
    <t>Min r to Preserve Po</t>
  </si>
  <si>
    <t>Min r to Ensure Pk=N &gt; 0</t>
  </si>
  <si>
    <t>Income Tax Rate Model</t>
  </si>
  <si>
    <t>b^2/(a-b)</t>
  </si>
  <si>
    <t>Io/Po</t>
  </si>
  <si>
    <t>Monthly Expenses</t>
  </si>
  <si>
    <t>[b^2/(a-b)]*(Eo/Po)</t>
  </si>
  <si>
    <t>[(1-t)/(a-1)]*(Io/Po)</t>
  </si>
  <si>
    <t>(1-t)/(a-1)=1/r</t>
  </si>
  <si>
    <t>Different Components</t>
  </si>
  <si>
    <t>Expense Comp</t>
  </si>
  <si>
    <t>Income Comp</t>
  </si>
  <si>
    <t>Investment Component</t>
  </si>
  <si>
    <t>(1-t)*Io</t>
  </si>
  <si>
    <t>Take RMD into account (Minimum Required Distribution)</t>
  </si>
  <si>
    <t>(Pk/Po)-1=(1+r)^N - 1</t>
  </si>
  <si>
    <t>Daily Interest Rate vs Annually</t>
  </si>
  <si>
    <t>Annual Interest, r</t>
  </si>
  <si>
    <t># of Years, N</t>
  </si>
  <si>
    <t>Total ROI after N years (Applied Annual)</t>
  </si>
  <si>
    <t>Total ROI after N years (Applied 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</si>
</sst>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"/>
    <numFmt numFmtId="165" formatCode="0.0%"/>
    <numFmt numFmtId="166" formatCode="0.0"/>
    <numFmt numFmtId="167" formatCode="&quot;$&quot;#,##0.0"/>
    <numFmt numFmtId="168" formatCode="&quot;$&quot;#,##0.00"/>
    <numFmt numFmtId="169" formatCode="0.000"/>
    <numFmt numFmtId="170" formatCode="0.0000%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 applyFont="1"/>
    <xf numFmtId="164" fontId="1" fillId="0" borderId="0" xfId="1" applyNumberFormat="1"/>
    <xf numFmtId="0" fontId="1" fillId="0" borderId="0" xfId="1"/>
    <xf numFmtId="9" fontId="1" fillId="0" borderId="0" xfId="1" applyNumberFormat="1"/>
    <xf numFmtId="165" fontId="1" fillId="0" borderId="0" xfId="1" applyNumberFormat="1"/>
    <xf numFmtId="10" fontId="1" fillId="0" borderId="0" xfId="1" applyNumberFormat="1"/>
    <xf numFmtId="165" fontId="1" fillId="0" borderId="0" xfId="1" applyNumberFormat="1" applyFont="1"/>
    <xf numFmtId="3" fontId="1" fillId="0" borderId="0" xfId="1" applyNumberFormat="1" applyFont="1" applyAlignment="1">
      <alignment horizontal="center"/>
    </xf>
    <xf numFmtId="3" fontId="1" fillId="0" borderId="0" xfId="1" applyNumberFormat="1"/>
    <xf numFmtId="3" fontId="1" fillId="0" borderId="0" xfId="1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4" fontId="0" fillId="0" borderId="0" xfId="0" applyNumberFormat="1"/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/>
    <xf numFmtId="11" fontId="1" fillId="0" borderId="0" xfId="1" applyNumberFormat="1"/>
    <xf numFmtId="168" fontId="1" fillId="0" borderId="0" xfId="1" applyNumberFormat="1"/>
    <xf numFmtId="169" fontId="1" fillId="0" borderId="0" xfId="1" applyNumberFormat="1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17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Pk/Po (%</a:t>
            </a:r>
            <a:r>
              <a:rPr lang="en-US" baseline="0"/>
              <a:t> of Capital) </a:t>
            </a:r>
            <a:r>
              <a:rPr lang="en-US"/>
              <a:t>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8097490896055"/>
          <c:y val="0.16375275938189846"/>
          <c:w val="0.79841385772889994"/>
          <c:h val="0.733826632598077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'Pre-Retirement'!$J$21</c:f>
              <c:strCache>
                <c:ptCount val="1"/>
                <c:pt idx="0">
                  <c:v>Pk/Po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'Pre-Retirement'!$D$22:$D$42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'Pre-Retirement'!$J$22:$J$42</c:f>
              <c:numCache>
                <c:formatCode>0.0%</c:formatCode>
                <c:ptCount val="21"/>
                <c:pt idx="0">
                  <c:v>1</c:v>
                </c:pt>
                <c:pt idx="1">
                  <c:v>1.0050760000000001</c:v>
                </c:pt>
                <c:pt idx="2">
                  <c:v>1.0092461500000001</c:v>
                </c:pt>
                <c:pt idx="3">
                  <c:v>1.0124243355250002</c:v>
                </c:pt>
                <c:pt idx="4">
                  <c:v>1.0145181299809376</c:v>
                </c:pt>
                <c:pt idx="5">
                  <c:v>1.0154283585988111</c:v>
                </c:pt>
                <c:pt idx="6">
                  <c:v>1.0150486327452741</c:v>
                </c:pt>
                <c:pt idx="7">
                  <c:v>1.0132648525954444</c:v>
                </c:pt>
                <c:pt idx="8">
                  <c:v>1.0099546760282982</c:v>
                </c:pt>
                <c:pt idx="9">
                  <c:v>1.004986951460523</c:v>
                </c:pt>
                <c:pt idx="10">
                  <c:v>0.9982211121804293</c:v>
                </c:pt>
                <c:pt idx="11">
                  <c:v>0.98950652957885576</c:v>
                </c:pt>
                <c:pt idx="12">
                  <c:v>0.97868182249820079</c:v>
                </c:pt>
                <c:pt idx="13">
                  <c:v>0.96557411973305707</c:v>
                </c:pt>
                <c:pt idx="14">
                  <c:v>0.94999827251559077</c:v>
                </c:pt>
                <c:pt idx="15">
                  <c:v>0.93175601360495641</c:v>
                </c:pt>
                <c:pt idx="16">
                  <c:v>0.9106350593717456</c:v>
                </c:pt>
                <c:pt idx="17">
                  <c:v>0.88640815102476211</c:v>
                </c:pt>
                <c:pt idx="18">
                  <c:v>0.85883203086726567</c:v>
                </c:pt>
                <c:pt idx="19">
                  <c:v>0.82764634919210489</c:v>
                </c:pt>
                <c:pt idx="20">
                  <c:v>0.79257249712869682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C-4F1E-A88F-412315B03EBC}"/>
            </c:ext>
          </c:extLst>
        </c:ser>
        <c:ser>
          <c:idx val="1"/>
          <c:order val="1"/>
          <c:tx>
            <c:strRef>
              <c:f>'Pre-Retirement'!$O$21</c:f>
              <c:strCache>
                <c:ptCount val="1"/>
                <c:pt idx="0">
                  <c:v>Pk/Po (Analytical)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'Pre-Retirement'!$D$22:$D$42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'Pre-Retirement'!$O$22:$O$61</c:f>
              <c:numCache>
                <c:formatCode>0.0%</c:formatCode>
                <c:ptCount val="40"/>
                <c:pt idx="0">
                  <c:v>1</c:v>
                </c:pt>
                <c:pt idx="1">
                  <c:v>1.0050759999999999</c:v>
                </c:pt>
                <c:pt idx="2">
                  <c:v>1.0092461499999996</c:v>
                </c:pt>
                <c:pt idx="3">
                  <c:v>1.0124243355249996</c:v>
                </c:pt>
                <c:pt idx="4">
                  <c:v>1.0145181299809369</c:v>
                </c:pt>
                <c:pt idx="5">
                  <c:v>1.01542835859881</c:v>
                </c:pt>
                <c:pt idx="6">
                  <c:v>1.0150486327452728</c:v>
                </c:pt>
                <c:pt idx="7">
                  <c:v>1.0132648525954424</c:v>
                </c:pt>
                <c:pt idx="8">
                  <c:v>1.009954676028296</c:v>
                </c:pt>
                <c:pt idx="9">
                  <c:v>1.0049869514605205</c:v>
                </c:pt>
                <c:pt idx="10">
                  <c:v>0.99822111218042642</c:v>
                </c:pt>
                <c:pt idx="11">
                  <c:v>0.9895065295788521</c:v>
                </c:pt>
                <c:pt idx="12">
                  <c:v>0.97868182249819702</c:v>
                </c:pt>
                <c:pt idx="13">
                  <c:v>0.96557411973305285</c:v>
                </c:pt>
                <c:pt idx="14">
                  <c:v>0.949998272515586</c:v>
                </c:pt>
                <c:pt idx="15">
                  <c:v>0.93175601360495097</c:v>
                </c:pt>
                <c:pt idx="16">
                  <c:v>0.91063505937173961</c:v>
                </c:pt>
                <c:pt idx="17">
                  <c:v>0.88640815102475567</c:v>
                </c:pt>
                <c:pt idx="18">
                  <c:v>0.85883203086725857</c:v>
                </c:pt>
                <c:pt idx="19">
                  <c:v>0.82764634919209756</c:v>
                </c:pt>
                <c:pt idx="20">
                  <c:v>0.79257249712868871</c:v>
                </c:pt>
                <c:pt idx="21">
                  <c:v>0.75331236043832162</c:v>
                </c:pt>
                <c:pt idx="22">
                  <c:v>0.70954698891642431</c:v>
                </c:pt>
                <c:pt idx="23">
                  <c:v>0.66093517569976934</c:v>
                </c:pt>
                <c:pt idx="24">
                  <c:v>0.60711194039161942</c:v>
                </c:pt>
                <c:pt idx="25">
                  <c:v>0.54768690950681265</c:v>
                </c:pt>
                <c:pt idx="26">
                  <c:v>0.48224258730005592</c:v>
                </c:pt>
                <c:pt idx="27">
                  <c:v>0.41033250957237399</c:v>
                </c:pt>
                <c:pt idx="28">
                  <c:v>0.33147927255066545</c:v>
                </c:pt>
                <c:pt idx="29">
                  <c:v>0.24517242840163345</c:v>
                </c:pt>
                <c:pt idx="30">
                  <c:v>0.15086623837161905</c:v>
                </c:pt>
                <c:pt idx="31">
                  <c:v>4.7977273935634557E-2</c:v>
                </c:pt>
                <c:pt idx="32">
                  <c:v>-6.4118144310299385E-2</c:v>
                </c:pt>
                <c:pt idx="33">
                  <c:v>-0.18608668097256498</c:v>
                </c:pt>
                <c:pt idx="34">
                  <c:v>-0.3186409050979595</c:v>
                </c:pt>
                <c:pt idx="35">
                  <c:v>-0.46254240681501457</c:v>
                </c:pt>
                <c:pt idx="36">
                  <c:v>-0.61860512471043094</c:v>
                </c:pt>
                <c:pt idx="37">
                  <c:v>-0.78769889817249172</c:v>
                </c:pt>
                <c:pt idx="38">
                  <c:v>-0.97075325989412775</c:v>
                </c:pt>
                <c:pt idx="39">
                  <c:v>-1.1687614847538725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1C-4F1E-A88F-412315B0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71455"/>
        <c:axId val="1272402367"/>
      </c:scatterChart>
      <c:valAx>
        <c:axId val="15427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02367"/>
        <c:crosses val="autoZero"/>
        <c:crossBetween val="midCat"/>
      </c:valAx>
      <c:valAx>
        <c:axId val="12724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7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88437934019446"/>
          <c:y val="0.53165493386174401"/>
          <c:w val="0.26861894593794627"/>
          <c:h val="0.14900766543254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Expenses</a:t>
            </a:r>
            <a:r>
              <a:rPr lang="en-US" sz="1200" baseline="0"/>
              <a:t> vs Returns &amp; Returns After Taxes</a:t>
            </a:r>
            <a:endParaRPr lang="en-US" sz="1200"/>
          </a:p>
        </c:rich>
      </c:tx>
      <c:layout>
        <c:manualLayout>
          <c:xMode val="edge"/>
          <c:yMode val="edge"/>
          <c:x val="0.19900415902190993"/>
          <c:y val="2.2271714922048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'Pre-Retirement'!$F$21</c:f>
              <c:strCache>
                <c:ptCount val="1"/>
                <c:pt idx="0">
                  <c:v>r*Pk-1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'Pre-Retirement'!$D$22:$D$42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'Pre-Retirement'!$F$22:$F$42</c:f>
              <c:numCache>
                <c:formatCode>#,##0</c:formatCode>
                <c:ptCount val="21"/>
                <c:pt idx="0">
                  <c:v>0</c:v>
                </c:pt>
                <c:pt idx="1">
                  <c:v>90000</c:v>
                </c:pt>
                <c:pt idx="2">
                  <c:v>90456.84</c:v>
                </c:pt>
                <c:pt idx="3">
                  <c:v>90832.153500000015</c:v>
                </c:pt>
                <c:pt idx="4">
                  <c:v>91118.190197250005</c:v>
                </c:pt>
                <c:pt idx="5">
                  <c:v>91306.631698284385</c:v>
                </c:pt>
                <c:pt idx="6">
                  <c:v>91388.552273893001</c:v>
                </c:pt>
                <c:pt idx="7">
                  <c:v>91354.376947074663</c:v>
                </c:pt>
                <c:pt idx="8">
                  <c:v>91193.836733589982</c:v>
                </c:pt>
                <c:pt idx="9">
                  <c:v>90895.920842546853</c:v>
                </c:pt>
                <c:pt idx="10">
                  <c:v>90448.825631447078</c:v>
                </c:pt>
                <c:pt idx="11">
                  <c:v>89839.900096238634</c:v>
                </c:pt>
                <c:pt idx="12">
                  <c:v>89055.587662097008</c:v>
                </c:pt>
                <c:pt idx="13">
                  <c:v>88081.364024838069</c:v>
                </c:pt>
                <c:pt idx="14">
                  <c:v>86901.67077597513</c:v>
                </c:pt>
                <c:pt idx="15">
                  <c:v>85499.844526403162</c:v>
                </c:pt>
                <c:pt idx="16">
                  <c:v>83858.041224446075</c:v>
                </c:pt>
                <c:pt idx="17">
                  <c:v>81957.155343457096</c:v>
                </c:pt>
                <c:pt idx="18">
                  <c:v>79776.733592228586</c:v>
                </c:pt>
                <c:pt idx="19">
                  <c:v>77294.8827780539</c:v>
                </c:pt>
                <c:pt idx="20">
                  <c:v>74488.171427289431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6B-49C8-9CC6-FA1B1EC9C992}"/>
            </c:ext>
          </c:extLst>
        </c:ser>
        <c:ser>
          <c:idx val="2"/>
          <c:order val="1"/>
          <c:tx>
            <c:strRef>
              <c:f>'Pre-Retirement'!$G$21</c:f>
              <c:strCache>
                <c:ptCount val="1"/>
                <c:pt idx="0">
                  <c:v>r*(1-t)*Pk-1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'Pre-Retirement'!$D$22:$D$42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'Pre-Retirement'!$G$22:$G$42</c:f>
              <c:numCache>
                <c:formatCode>#,##0</c:formatCode>
                <c:ptCount val="21"/>
                <c:pt idx="0">
                  <c:v>0</c:v>
                </c:pt>
                <c:pt idx="1">
                  <c:v>67500</c:v>
                </c:pt>
                <c:pt idx="2">
                  <c:v>67842.63</c:v>
                </c:pt>
                <c:pt idx="3">
                  <c:v>68124.115125000011</c:v>
                </c:pt>
                <c:pt idx="4">
                  <c:v>68338.642647937508</c:v>
                </c:pt>
                <c:pt idx="5">
                  <c:v>68479.973773713296</c:v>
                </c:pt>
                <c:pt idx="6">
                  <c:v>68541.414205419758</c:v>
                </c:pt>
                <c:pt idx="7">
                  <c:v>68515.782710306012</c:v>
                </c:pt>
                <c:pt idx="8">
                  <c:v>68395.377550192497</c:v>
                </c:pt>
                <c:pt idx="9">
                  <c:v>68171.94063191014</c:v>
                </c:pt>
                <c:pt idx="10">
                  <c:v>67836.619223585309</c:v>
                </c:pt>
                <c:pt idx="11">
                  <c:v>67379.925072178987</c:v>
                </c:pt>
                <c:pt idx="12">
                  <c:v>66791.690746572771</c:v>
                </c:pt>
                <c:pt idx="13">
                  <c:v>66061.023018628563</c:v>
                </c:pt>
                <c:pt idx="14">
                  <c:v>65176.253081981362</c:v>
                </c:pt>
                <c:pt idx="15">
                  <c:v>64124.883394802382</c:v>
                </c:pt>
                <c:pt idx="16">
                  <c:v>62893.530918334567</c:v>
                </c:pt>
                <c:pt idx="17">
                  <c:v>61467.866507592829</c:v>
                </c:pt>
                <c:pt idx="18">
                  <c:v>59832.550194171446</c:v>
                </c:pt>
                <c:pt idx="19">
                  <c:v>57971.162083540432</c:v>
                </c:pt>
                <c:pt idx="20">
                  <c:v>55866.128570467081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6B-49C8-9CC6-FA1B1EC9C992}"/>
            </c:ext>
          </c:extLst>
        </c:ser>
        <c:ser>
          <c:idx val="3"/>
          <c:order val="2"/>
          <c:tx>
            <c:strRef>
              <c:f>'Pre-Retirement'!$H$21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'Pre-Retirement'!$D$22:$D$42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'Pre-Retirement'!$H$22:$H$42</c:f>
              <c:numCache>
                <c:formatCode>#,##0</c:formatCode>
                <c:ptCount val="21"/>
                <c:pt idx="0">
                  <c:v>0</c:v>
                </c:pt>
                <c:pt idx="1">
                  <c:v>62424</c:v>
                </c:pt>
                <c:pt idx="2">
                  <c:v>63672.479999999996</c:v>
                </c:pt>
                <c:pt idx="3">
                  <c:v>64945.929599999996</c:v>
                </c:pt>
                <c:pt idx="4">
                  <c:v>66244.848192000005</c:v>
                </c:pt>
                <c:pt idx="5">
                  <c:v>67569.745155840006</c:v>
                </c:pt>
                <c:pt idx="6">
                  <c:v>68921.140058956793</c:v>
                </c:pt>
                <c:pt idx="7">
                  <c:v>70299.562860135935</c:v>
                </c:pt>
                <c:pt idx="8">
                  <c:v>71705.554117338645</c:v>
                </c:pt>
                <c:pt idx="9">
                  <c:v>73139.66519968542</c:v>
                </c:pt>
                <c:pt idx="10">
                  <c:v>74602.458503679125</c:v>
                </c:pt>
                <c:pt idx="11">
                  <c:v>76094.507673752712</c:v>
                </c:pt>
                <c:pt idx="12">
                  <c:v>77616.39782722776</c:v>
                </c:pt>
                <c:pt idx="13">
                  <c:v>79168.72578377233</c:v>
                </c:pt>
                <c:pt idx="14">
                  <c:v>80752.10029944776</c:v>
                </c:pt>
                <c:pt idx="15">
                  <c:v>82367.142305436719</c:v>
                </c:pt>
                <c:pt idx="16">
                  <c:v>84014.485151545465</c:v>
                </c:pt>
                <c:pt idx="17">
                  <c:v>85694.774854576361</c:v>
                </c:pt>
                <c:pt idx="18">
                  <c:v>87408.670351667883</c:v>
                </c:pt>
                <c:pt idx="19">
                  <c:v>89156.84375870126</c:v>
                </c:pt>
                <c:pt idx="20">
                  <c:v>90939.980633875268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6B-49C8-9CC6-FA1B1EC9C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564784"/>
        <c:axId val="1783774096"/>
      </c:scatterChart>
      <c:valAx>
        <c:axId val="16985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74096"/>
        <c:crosses val="autoZero"/>
        <c:crossBetween val="midCat"/>
      </c:valAx>
      <c:valAx>
        <c:axId val="17837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87261915536068"/>
          <c:y val="0.59075671220384751"/>
          <c:w val="0.23611248008442667"/>
          <c:h val="0.20434351051330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Cn/Co (Retirement Capital) vs # of years to live</a:t>
            </a:r>
          </a:p>
        </c:rich>
      </c:tx>
      <c:layout>
        <c:manualLayout>
          <c:xMode val="edge"/>
          <c:yMode val="edge"/>
          <c:x val="0.44655167290816039"/>
          <c:y val="3.6781609195402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'Post-Retirement'!$H$20</c:f>
              <c:strCache>
                <c:ptCount val="1"/>
                <c:pt idx="0">
                  <c:v>Cn/Co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'Post-Retirement'!$E$21:$E$41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'Post-Retirement'!$H$21:$H$41</c:f>
              <c:numCache>
                <c:formatCode>0.0%</c:formatCode>
                <c:ptCount val="21"/>
                <c:pt idx="0">
                  <c:v>1</c:v>
                </c:pt>
                <c:pt idx="1">
                  <c:v>0.97296792706708857</c:v>
                </c:pt>
                <c:pt idx="2">
                  <c:v>0.9447643568279237</c:v>
                </c:pt>
                <c:pt idx="3">
                  <c:v>0.91535955077790432</c:v>
                </c:pt>
                <c:pt idx="4">
                  <c:v>0.88472311255675273</c:v>
                </c:pt>
                <c:pt idx="5">
                  <c:v>0.85282397416054512</c:v>
                </c:pt>
                <c:pt idx="6">
                  <c:v>0.8196303818716737</c:v>
                </c:pt>
                <c:pt idx="7">
                  <c:v>0.78510988190103792</c:v>
                </c:pt>
                <c:pt idx="8">
                  <c:v>0.7492293057366427</c:v>
                </c:pt>
                <c:pt idx="9">
                  <c:v>0.71195475519266926</c:v>
                </c:pt>
                <c:pt idx="10">
                  <c:v>0.67325158715296329</c:v>
                </c:pt>
                <c:pt idx="11">
                  <c:v>0.63308439800276173</c:v>
                </c:pt>
                <c:pt idx="12">
                  <c:v>0.59141700774235728</c:v>
                </c:pt>
                <c:pt idx="13">
                  <c:v>0.54821244377627398</c:v>
                </c:pt>
                <c:pt idx="14">
                  <c:v>0.50343292437139375</c:v>
                </c:pt>
                <c:pt idx="15">
                  <c:v>0.45703984177734569</c:v>
                </c:pt>
                <c:pt idx="16">
                  <c:v>0.40899374500233587</c:v>
                </c:pt>
                <c:pt idx="17">
                  <c:v>0.35925432223745418</c:v>
                </c:pt>
                <c:pt idx="18">
                  <c:v>0.30778038292235949</c:v>
                </c:pt>
                <c:pt idx="19">
                  <c:v>0.25452983944509838</c:v>
                </c:pt>
                <c:pt idx="20">
                  <c:v>0.19945968846866896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19-4AD4-8425-521D9BAC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26207"/>
        <c:axId val="1268157903"/>
      </c:scatterChart>
      <c:valAx>
        <c:axId val="146192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57903"/>
        <c:crosses val="autoZero"/>
        <c:crossBetween val="midCat"/>
      </c:valAx>
      <c:valAx>
        <c:axId val="12681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2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Years Needed to Double Your Money</a:t>
            </a:r>
          </a:p>
          <a:p>
            <a:pPr>
              <a:defRPr/>
            </a:pPr>
            <a:r>
              <a:rPr lang="en-US"/>
              <a:t>vs Tax Free ROI</a:t>
            </a:r>
          </a:p>
        </c:rich>
      </c:tx>
      <c:layout>
        <c:manualLayout>
          <c:xMode val="edge"/>
          <c:yMode val="edge"/>
          <c:x val="0.2040394287496303"/>
          <c:y val="3.0769230769230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592517428854193E-2"/>
          <c:y val="0.20838461538461539"/>
          <c:w val="0.8152603607038883"/>
          <c:h val="0.59823682616596008"/>
        </c:manualLayout>
      </c:layout>
      <c:scatterChart>
        <c:scatterStyle val="smoothMarker"/>
        <c:varyColors val="0"/>
        <c:ser>
          <c:idx val="0"/>
          <c:order val="0"/>
          <c:tx>
            <c:v>Approximation Model N~0.7/ROI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'Compound Interest Analysis'!$N$6:$N$23</c:f>
              <c:numCache>
                <c:formatCode>0%</c:formatCode>
                <c:ptCount val="1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6.0000000000000005E-2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9.9999999999999992E-2</c:v>
                </c:pt>
                <c:pt idx="8">
                  <c:v>0.10999999999999999</c:v>
                </c:pt>
                <c:pt idx="9">
                  <c:v>0.11999999999999998</c:v>
                </c:pt>
                <c:pt idx="10">
                  <c:v>0.12999999999999998</c:v>
                </c:pt>
                <c:pt idx="11">
                  <c:v>0.13999999999999999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0.18000000000000002</c:v>
                </c:pt>
                <c:pt idx="16">
                  <c:v>0.19000000000000003</c:v>
                </c:pt>
                <c:pt idx="17">
                  <c:v>0.20000000000000004</c:v>
                </c:pt>
              </c:numCache>
            </c:numRef>
          </c:xVal>
          <c:yVal>
            <c:numRef>
              <c:f>'Compound Interest Analysis'!$O$6:$O$23</c:f>
              <c:numCache>
                <c:formatCode>0.0</c:formatCode>
                <c:ptCount val="18"/>
                <c:pt idx="0">
                  <c:v>23.449772250437736</c:v>
                </c:pt>
                <c:pt idx="1">
                  <c:v>17.672987685129698</c:v>
                </c:pt>
                <c:pt idx="2">
                  <c:v>14.206699082890461</c:v>
                </c:pt>
                <c:pt idx="3">
                  <c:v>11.895661045941875</c:v>
                </c:pt>
                <c:pt idx="4">
                  <c:v>10.244768351058712</c:v>
                </c:pt>
                <c:pt idx="5">
                  <c:v>9.0064683420005878</c:v>
                </c:pt>
                <c:pt idx="6">
                  <c:v>8.0432317269320457</c:v>
                </c:pt>
                <c:pt idx="7">
                  <c:v>7.2725408973417132</c:v>
                </c:pt>
                <c:pt idx="8">
                  <c:v>6.6418846184179152</c:v>
                </c:pt>
                <c:pt idx="9">
                  <c:v>6.1162553741997101</c:v>
                </c:pt>
                <c:pt idx="10">
                  <c:v>5.6714171687799224</c:v>
                </c:pt>
                <c:pt idx="11">
                  <c:v>5.2900585555354791</c:v>
                </c:pt>
                <c:pt idx="12">
                  <c:v>4.9594844546403909</c:v>
                </c:pt>
                <c:pt idx="13">
                  <c:v>4.6701735389888235</c:v>
                </c:pt>
                <c:pt idx="14">
                  <c:v>4.414844778007474</c:v>
                </c:pt>
                <c:pt idx="15">
                  <c:v>4.1878351335123218</c:v>
                </c:pt>
                <c:pt idx="16">
                  <c:v>3.9846737726468469</c:v>
                </c:pt>
                <c:pt idx="17">
                  <c:v>3.8017840169239308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B6-4B55-8123-7AB84AC95976}"/>
            </c:ext>
          </c:extLst>
        </c:ser>
        <c:ser>
          <c:idx val="1"/>
          <c:order val="1"/>
          <c:tx>
            <c:v>Exact Model N=ln(2)/ln(1+ROI)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'Compound Interest Analysis'!$N$6:$N$23</c:f>
              <c:numCache>
                <c:formatCode>0%</c:formatCode>
                <c:ptCount val="1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6.0000000000000005E-2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9.9999999999999992E-2</c:v>
                </c:pt>
                <c:pt idx="8">
                  <c:v>0.10999999999999999</c:v>
                </c:pt>
                <c:pt idx="9">
                  <c:v>0.11999999999999998</c:v>
                </c:pt>
                <c:pt idx="10">
                  <c:v>0.12999999999999998</c:v>
                </c:pt>
                <c:pt idx="11">
                  <c:v>0.13999999999999999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0.18000000000000002</c:v>
                </c:pt>
                <c:pt idx="16">
                  <c:v>0.19000000000000003</c:v>
                </c:pt>
                <c:pt idx="17">
                  <c:v>0.20000000000000004</c:v>
                </c:pt>
              </c:numCache>
            </c:numRef>
          </c:xVal>
          <c:yVal>
            <c:numRef>
              <c:f>'Compound Interest Analysis'!$R$6:$R$23</c:f>
              <c:numCache>
                <c:formatCode>0.0</c:formatCode>
                <c:ptCount val="18"/>
                <c:pt idx="0">
                  <c:v>23.104906018664845</c:v>
                </c:pt>
                <c:pt idx="1">
                  <c:v>17.328679513998633</c:v>
                </c:pt>
                <c:pt idx="2">
                  <c:v>13.862943611198904</c:v>
                </c:pt>
                <c:pt idx="3">
                  <c:v>11.552453009332421</c:v>
                </c:pt>
                <c:pt idx="4">
                  <c:v>9.9021025794277886</c:v>
                </c:pt>
                <c:pt idx="5">
                  <c:v>8.6643397569993166</c:v>
                </c:pt>
                <c:pt idx="6">
                  <c:v>7.7016353395549482</c:v>
                </c:pt>
                <c:pt idx="7">
                  <c:v>6.9314718055994531</c:v>
                </c:pt>
                <c:pt idx="8">
                  <c:v>6.3013380050904129</c:v>
                </c:pt>
                <c:pt idx="9">
                  <c:v>5.7762265046662113</c:v>
                </c:pt>
                <c:pt idx="10">
                  <c:v>5.331901388922657</c:v>
                </c:pt>
                <c:pt idx="11">
                  <c:v>4.9510512897138952</c:v>
                </c:pt>
                <c:pt idx="12">
                  <c:v>4.6209812037329687</c:v>
                </c:pt>
                <c:pt idx="13">
                  <c:v>4.3321698784996583</c:v>
                </c:pt>
                <c:pt idx="14">
                  <c:v>4.077336356234972</c:v>
                </c:pt>
                <c:pt idx="15">
                  <c:v>3.8508176697774732</c:v>
                </c:pt>
                <c:pt idx="16">
                  <c:v>3.6481430555786587</c:v>
                </c:pt>
                <c:pt idx="17">
                  <c:v>3.4657359027997257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6-4B55-8123-7AB84AC95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871055"/>
        <c:axId val="1256366991"/>
      </c:scatterChart>
      <c:valAx>
        <c:axId val="127087105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ROI</a:t>
                </a:r>
                <a:r>
                  <a:rPr lang="en-US" baseline="0"/>
                  <a:t> (Tax Free Return on Investment)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154773782265177"/>
              <c:y val="0.8919993943064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66991"/>
        <c:crosses val="autoZero"/>
        <c:crossBetween val="midCat"/>
      </c:valAx>
      <c:valAx>
        <c:axId val="12563669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to Double your 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7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293277465457643E-2"/>
          <c:y val="0.20963416111447608"/>
          <c:w val="0.42616096352441918"/>
          <c:h val="0.11878774596515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in N years vs Annual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7171296296296296"/>
          <c:w val="0.85965507436570432"/>
          <c:h val="0.6797991396908720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'Compound Interest Analysis'!$F$3</c:f>
              <c:strCache>
                <c:ptCount val="1"/>
                <c:pt idx="0">
                  <c:v>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'Compound Interest Analysis'!$A$4:$E$23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3.53%</c:v>
                  </c:pt>
                  <c:pt idx="1">
                    <c:v>3.47%</c:v>
                  </c:pt>
                  <c:pt idx="2">
                    <c:v>5.00%</c:v>
                  </c:pt>
                  <c:pt idx="10">
                    <c:v>2.0201%</c:v>
                  </c:pt>
                </c:lvl>
                <c:lvl>
                  <c:pt idx="0">
                    <c:v>r</c:v>
                  </c:pt>
                  <c:pt idx="1">
                    <c:v>r</c:v>
                  </c:pt>
                  <c:pt idx="2">
                    <c:v>r_simple</c:v>
                  </c:pt>
                  <c:pt idx="7">
                    <c:v>2%</c:v>
                  </c:pt>
                  <c:pt idx="8">
                    <c:v>1</c:v>
                  </c:pt>
                  <c:pt idx="9">
                    <c:v>2.00%</c:v>
                  </c:pt>
                  <c:pt idx="10">
                    <c:v>2.0201%</c:v>
                  </c:pt>
                </c:lvl>
                <c:lvl>
                  <c:pt idx="0">
                    <c:v>Annual ROI (due to Compound)</c:v>
                  </c:pt>
                  <c:pt idx="1">
                    <c:v>Approximation formulae</c:v>
                  </c:pt>
                  <c:pt idx="2">
                    <c:v>Annual ROI (Simple Interest)</c:v>
                  </c:pt>
                  <c:pt idx="6">
                    <c:v>Daily Interest Rate vs Annually</c:v>
                  </c:pt>
                  <c:pt idx="7">
                    <c:v>Annual Interest, r</c:v>
                  </c:pt>
                  <c:pt idx="8">
                    <c:v># of Years, N</c:v>
                  </c:pt>
                  <c:pt idx="9">
                    <c:v>Total ROI after N years (Applied Annual)</c:v>
                  </c:pt>
                  <c:pt idx="10">
                    <c:v>Total ROI after N years (Applied Daily)</c:v>
                  </c:pt>
                </c:lvl>
              </c:multiLvlStrCache>
            </c:multiLvlStrRef>
          </c:xVal>
          <c:yVal>
            <c:numRef>
              <c:f>'Compound Interest Analysis'!$F$3:$F$23</c:f>
              <c:numCache>
                <c:formatCode>0.0%</c:formatCode>
                <c:ptCount val="21"/>
                <c:pt idx="0" formatCode="0%">
                  <c:v>0.03</c:v>
                </c:pt>
                <c:pt idx="1">
                  <c:v>3.0000000000000027E-2</c:v>
                </c:pt>
                <c:pt idx="2">
                  <c:v>6.0899999999999954E-2</c:v>
                </c:pt>
                <c:pt idx="3">
                  <c:v>9.2727000000000004E-2</c:v>
                </c:pt>
                <c:pt idx="4">
                  <c:v>0.12550880999999992</c:v>
                </c:pt>
                <c:pt idx="5">
                  <c:v>0.15927407429999985</c:v>
                </c:pt>
                <c:pt idx="6">
                  <c:v>0.19405229652899991</c:v>
                </c:pt>
                <c:pt idx="7">
                  <c:v>0.22987386542486998</c:v>
                </c:pt>
                <c:pt idx="8">
                  <c:v>0.26677008138761593</c:v>
                </c:pt>
                <c:pt idx="9">
                  <c:v>0.30477318382924445</c:v>
                </c:pt>
                <c:pt idx="10">
                  <c:v>0.34391637934412178</c:v>
                </c:pt>
                <c:pt idx="11">
                  <c:v>0.38423387072444548</c:v>
                </c:pt>
                <c:pt idx="12">
                  <c:v>0.42576088684617863</c:v>
                </c:pt>
                <c:pt idx="13">
                  <c:v>0.46853371345156392</c:v>
                </c:pt>
                <c:pt idx="14">
                  <c:v>0.51258972485511101</c:v>
                </c:pt>
                <c:pt idx="15">
                  <c:v>0.55796741660076443</c:v>
                </c:pt>
                <c:pt idx="16">
                  <c:v>0.60470643909878707</c:v>
                </c:pt>
                <c:pt idx="17">
                  <c:v>0.65284763227175069</c:v>
                </c:pt>
                <c:pt idx="18">
                  <c:v>0.70243306123990323</c:v>
                </c:pt>
                <c:pt idx="19">
                  <c:v>0.75350605307710028</c:v>
                </c:pt>
                <c:pt idx="20">
                  <c:v>0.80611123466941326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15-41BF-A6FA-73926CA5F399}"/>
            </c:ext>
          </c:extLst>
        </c:ser>
        <c:ser>
          <c:idx val="2"/>
          <c:order val="1"/>
          <c:tx>
            <c:strRef>
              <c:f>'Compound Interest Analysis'!$G$3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'Compound Interest Analysis'!$A$4:$E$23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3.53%</c:v>
                  </c:pt>
                  <c:pt idx="1">
                    <c:v>3.47%</c:v>
                  </c:pt>
                  <c:pt idx="2">
                    <c:v>5.00%</c:v>
                  </c:pt>
                  <c:pt idx="10">
                    <c:v>2.0201%</c:v>
                  </c:pt>
                </c:lvl>
                <c:lvl>
                  <c:pt idx="0">
                    <c:v>r</c:v>
                  </c:pt>
                  <c:pt idx="1">
                    <c:v>r</c:v>
                  </c:pt>
                  <c:pt idx="2">
                    <c:v>r_simple</c:v>
                  </c:pt>
                  <c:pt idx="7">
                    <c:v>2%</c:v>
                  </c:pt>
                  <c:pt idx="8">
                    <c:v>1</c:v>
                  </c:pt>
                  <c:pt idx="9">
                    <c:v>2.00%</c:v>
                  </c:pt>
                  <c:pt idx="10">
                    <c:v>2.0201%</c:v>
                  </c:pt>
                </c:lvl>
                <c:lvl>
                  <c:pt idx="0">
                    <c:v>Annual ROI (due to Compound)</c:v>
                  </c:pt>
                  <c:pt idx="1">
                    <c:v>Approximation formulae</c:v>
                  </c:pt>
                  <c:pt idx="2">
                    <c:v>Annual ROI (Simple Interest)</c:v>
                  </c:pt>
                  <c:pt idx="6">
                    <c:v>Daily Interest Rate vs Annually</c:v>
                  </c:pt>
                  <c:pt idx="7">
                    <c:v>Annual Interest, r</c:v>
                  </c:pt>
                  <c:pt idx="8">
                    <c:v># of Years, N</c:v>
                  </c:pt>
                  <c:pt idx="9">
                    <c:v>Total ROI after N years (Applied Annual)</c:v>
                  </c:pt>
                  <c:pt idx="10">
                    <c:v>Total ROI after N years (Applied Daily)</c:v>
                  </c:pt>
                </c:lvl>
              </c:multiLvlStrCache>
            </c:multiLvlStrRef>
          </c:xVal>
          <c:yVal>
            <c:numRef>
              <c:f>'Compound Interest Analysis'!$G$3:$G$23</c:f>
              <c:numCache>
                <c:formatCode>0.0%</c:formatCode>
                <c:ptCount val="21"/>
                <c:pt idx="0" formatCode="0%">
                  <c:v>0.05</c:v>
                </c:pt>
                <c:pt idx="1">
                  <c:v>5.0000000000000044E-2</c:v>
                </c:pt>
                <c:pt idx="2">
                  <c:v>0.10250000000000004</c:v>
                </c:pt>
                <c:pt idx="3">
                  <c:v>0.15762500000000013</c:v>
                </c:pt>
                <c:pt idx="4">
                  <c:v>0.21550625000000001</c:v>
                </c:pt>
                <c:pt idx="5">
                  <c:v>0.27628156250000013</c:v>
                </c:pt>
                <c:pt idx="6">
                  <c:v>0.34009564062499997</c:v>
                </c:pt>
                <c:pt idx="7">
                  <c:v>0.40710042265625024</c:v>
                </c:pt>
                <c:pt idx="8">
                  <c:v>0.47745544378906257</c:v>
                </c:pt>
                <c:pt idx="9">
                  <c:v>0.55132821597851578</c:v>
                </c:pt>
                <c:pt idx="10">
                  <c:v>0.62889462677744157</c:v>
                </c:pt>
                <c:pt idx="11">
                  <c:v>0.71033935811631377</c:v>
                </c:pt>
                <c:pt idx="12">
                  <c:v>0.79585632602212919</c:v>
                </c:pt>
                <c:pt idx="13">
                  <c:v>0.88564914232323599</c:v>
                </c:pt>
                <c:pt idx="14">
                  <c:v>0.97993159943939734</c:v>
                </c:pt>
                <c:pt idx="15">
                  <c:v>1.0789281794113679</c:v>
                </c:pt>
                <c:pt idx="16">
                  <c:v>1.182874588381936</c:v>
                </c:pt>
                <c:pt idx="17">
                  <c:v>1.2920183178010332</c:v>
                </c:pt>
                <c:pt idx="18">
                  <c:v>1.4066192336910848</c:v>
                </c:pt>
                <c:pt idx="19">
                  <c:v>1.526950195375639</c:v>
                </c:pt>
                <c:pt idx="20">
                  <c:v>1.6532977051444209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15-41BF-A6FA-73926CA5F399}"/>
            </c:ext>
          </c:extLst>
        </c:ser>
        <c:ser>
          <c:idx val="3"/>
          <c:order val="2"/>
          <c:tx>
            <c:strRef>
              <c:f>'Compound Interest Analysis'!$H$3</c:f>
              <c:strCache>
                <c:ptCount val="1"/>
                <c:pt idx="0">
                  <c:v>7%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'Compound Interest Analysis'!$A$4:$E$23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3.53%</c:v>
                  </c:pt>
                  <c:pt idx="1">
                    <c:v>3.47%</c:v>
                  </c:pt>
                  <c:pt idx="2">
                    <c:v>5.00%</c:v>
                  </c:pt>
                  <c:pt idx="10">
                    <c:v>2.0201%</c:v>
                  </c:pt>
                </c:lvl>
                <c:lvl>
                  <c:pt idx="0">
                    <c:v>r</c:v>
                  </c:pt>
                  <c:pt idx="1">
                    <c:v>r</c:v>
                  </c:pt>
                  <c:pt idx="2">
                    <c:v>r_simple</c:v>
                  </c:pt>
                  <c:pt idx="7">
                    <c:v>2%</c:v>
                  </c:pt>
                  <c:pt idx="8">
                    <c:v>1</c:v>
                  </c:pt>
                  <c:pt idx="9">
                    <c:v>2.00%</c:v>
                  </c:pt>
                  <c:pt idx="10">
                    <c:v>2.0201%</c:v>
                  </c:pt>
                </c:lvl>
                <c:lvl>
                  <c:pt idx="0">
                    <c:v>Annual ROI (due to Compound)</c:v>
                  </c:pt>
                  <c:pt idx="1">
                    <c:v>Approximation formulae</c:v>
                  </c:pt>
                  <c:pt idx="2">
                    <c:v>Annual ROI (Simple Interest)</c:v>
                  </c:pt>
                  <c:pt idx="6">
                    <c:v>Daily Interest Rate vs Annually</c:v>
                  </c:pt>
                  <c:pt idx="7">
                    <c:v>Annual Interest, r</c:v>
                  </c:pt>
                  <c:pt idx="8">
                    <c:v># of Years, N</c:v>
                  </c:pt>
                  <c:pt idx="9">
                    <c:v>Total ROI after N years (Applied Annual)</c:v>
                  </c:pt>
                  <c:pt idx="10">
                    <c:v>Total ROI after N years (Applied Daily)</c:v>
                  </c:pt>
                </c:lvl>
              </c:multiLvlStrCache>
            </c:multiLvlStrRef>
          </c:xVal>
          <c:yVal>
            <c:numRef>
              <c:f>'Compound Interest Analysis'!$H$3:$H$23</c:f>
              <c:numCache>
                <c:formatCode>0.0%</c:formatCode>
                <c:ptCount val="21"/>
                <c:pt idx="0" formatCode="0%">
                  <c:v>7.0000000000000007E-2</c:v>
                </c:pt>
                <c:pt idx="1">
                  <c:v>7.0000000000000062E-2</c:v>
                </c:pt>
                <c:pt idx="2">
                  <c:v>0.14490000000000003</c:v>
                </c:pt>
                <c:pt idx="3">
                  <c:v>0.2250430000000001</c:v>
                </c:pt>
                <c:pt idx="4">
                  <c:v>0.31079601000000001</c:v>
                </c:pt>
                <c:pt idx="5">
                  <c:v>0.40255173070000017</c:v>
                </c:pt>
                <c:pt idx="6">
                  <c:v>0.50073035184900005</c:v>
                </c:pt>
                <c:pt idx="7">
                  <c:v>0.60578147647843017</c:v>
                </c:pt>
                <c:pt idx="8">
                  <c:v>0.71818617983192024</c:v>
                </c:pt>
                <c:pt idx="9">
                  <c:v>0.83845921242015486</c:v>
                </c:pt>
                <c:pt idx="10">
                  <c:v>0.96715135728956558</c:v>
                </c:pt>
                <c:pt idx="11">
                  <c:v>1.1048519522998355</c:v>
                </c:pt>
                <c:pt idx="12">
                  <c:v>1.2521915889608235</c:v>
                </c:pt>
                <c:pt idx="13">
                  <c:v>1.4098450001880813</c:v>
                </c:pt>
                <c:pt idx="14">
                  <c:v>1.5785341502012469</c:v>
                </c:pt>
                <c:pt idx="15">
                  <c:v>1.7590315407153345</c:v>
                </c:pt>
                <c:pt idx="16">
                  <c:v>1.9521637485654075</c:v>
                </c:pt>
                <c:pt idx="17">
                  <c:v>2.1588152109649861</c:v>
                </c:pt>
                <c:pt idx="18">
                  <c:v>2.3799322757325352</c:v>
                </c:pt>
                <c:pt idx="19">
                  <c:v>2.6165275350338129</c:v>
                </c:pt>
                <c:pt idx="20">
                  <c:v>2.8696844624861795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15-41BF-A6FA-73926CA5F399}"/>
            </c:ext>
          </c:extLst>
        </c:ser>
        <c:ser>
          <c:idx val="4"/>
          <c:order val="3"/>
          <c:tx>
            <c:strRef>
              <c:f>'Compound Interest Analysis'!$I$3</c:f>
              <c:strCache>
                <c:ptCount val="1"/>
                <c:pt idx="0">
                  <c:v>8%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'Compound Interest Analysis'!$A$4:$E$23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3.53%</c:v>
                  </c:pt>
                  <c:pt idx="1">
                    <c:v>3.47%</c:v>
                  </c:pt>
                  <c:pt idx="2">
                    <c:v>5.00%</c:v>
                  </c:pt>
                  <c:pt idx="10">
                    <c:v>2.0201%</c:v>
                  </c:pt>
                </c:lvl>
                <c:lvl>
                  <c:pt idx="0">
                    <c:v>r</c:v>
                  </c:pt>
                  <c:pt idx="1">
                    <c:v>r</c:v>
                  </c:pt>
                  <c:pt idx="2">
                    <c:v>r_simple</c:v>
                  </c:pt>
                  <c:pt idx="7">
                    <c:v>2%</c:v>
                  </c:pt>
                  <c:pt idx="8">
                    <c:v>1</c:v>
                  </c:pt>
                  <c:pt idx="9">
                    <c:v>2.00%</c:v>
                  </c:pt>
                  <c:pt idx="10">
                    <c:v>2.0201%</c:v>
                  </c:pt>
                </c:lvl>
                <c:lvl>
                  <c:pt idx="0">
                    <c:v>Annual ROI (due to Compound)</c:v>
                  </c:pt>
                  <c:pt idx="1">
                    <c:v>Approximation formulae</c:v>
                  </c:pt>
                  <c:pt idx="2">
                    <c:v>Annual ROI (Simple Interest)</c:v>
                  </c:pt>
                  <c:pt idx="6">
                    <c:v>Daily Interest Rate vs Annually</c:v>
                  </c:pt>
                  <c:pt idx="7">
                    <c:v>Annual Interest, r</c:v>
                  </c:pt>
                  <c:pt idx="8">
                    <c:v># of Years, N</c:v>
                  </c:pt>
                  <c:pt idx="9">
                    <c:v>Total ROI after N years (Applied Annual)</c:v>
                  </c:pt>
                  <c:pt idx="10">
                    <c:v>Total ROI after N years (Applied Daily)</c:v>
                  </c:pt>
                </c:lvl>
              </c:multiLvlStrCache>
            </c:multiLvlStrRef>
          </c:xVal>
          <c:yVal>
            <c:numRef>
              <c:f>'Compound Interest Analysis'!$I$3:$I$23</c:f>
              <c:numCache>
                <c:formatCode>0.0%</c:formatCode>
                <c:ptCount val="21"/>
                <c:pt idx="0" formatCode="0%">
                  <c:v>0.08</c:v>
                </c:pt>
                <c:pt idx="1">
                  <c:v>8.0000000000000071E-2</c:v>
                </c:pt>
                <c:pt idx="2">
                  <c:v>0.1664000000000001</c:v>
                </c:pt>
                <c:pt idx="3">
                  <c:v>0.25971200000000016</c:v>
                </c:pt>
                <c:pt idx="4">
                  <c:v>0.3604889600000003</c:v>
                </c:pt>
                <c:pt idx="5">
                  <c:v>0.46932807680000033</c:v>
                </c:pt>
                <c:pt idx="6">
                  <c:v>0.58687432294400055</c:v>
                </c:pt>
                <c:pt idx="7">
                  <c:v>0.71382426877952065</c:v>
                </c:pt>
                <c:pt idx="8">
                  <c:v>0.85093021028188232</c:v>
                </c:pt>
                <c:pt idx="9">
                  <c:v>0.99900462710443305</c:v>
                </c:pt>
                <c:pt idx="10">
                  <c:v>1.1589249972727877</c:v>
                </c:pt>
                <c:pt idx="11">
                  <c:v>1.3316389970546108</c:v>
                </c:pt>
                <c:pt idx="12">
                  <c:v>1.5181701168189798</c:v>
                </c:pt>
                <c:pt idx="13">
                  <c:v>1.7196237261644982</c:v>
                </c:pt>
                <c:pt idx="14">
                  <c:v>1.9371936242576586</c:v>
                </c:pt>
                <c:pt idx="15">
                  <c:v>2.1721691141982715</c:v>
                </c:pt>
                <c:pt idx="16">
                  <c:v>2.4259426433341331</c:v>
                </c:pt>
                <c:pt idx="17">
                  <c:v>2.7000180548008639</c:v>
                </c:pt>
                <c:pt idx="18">
                  <c:v>2.9960194991849334</c:v>
                </c:pt>
                <c:pt idx="19">
                  <c:v>3.3157010591197285</c:v>
                </c:pt>
                <c:pt idx="20">
                  <c:v>3.6609571438493065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15-41BF-A6FA-73926CA5F399}"/>
            </c:ext>
          </c:extLst>
        </c:ser>
        <c:ser>
          <c:idx val="5"/>
          <c:order val="4"/>
          <c:tx>
            <c:strRef>
              <c:f>'Compound Interest Analysis'!$J$3</c:f>
              <c:strCache>
                <c:ptCount val="1"/>
                <c:pt idx="0">
                  <c:v>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'Compound Interest Analysis'!$A$4:$E$23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3.53%</c:v>
                  </c:pt>
                  <c:pt idx="1">
                    <c:v>3.47%</c:v>
                  </c:pt>
                  <c:pt idx="2">
                    <c:v>5.00%</c:v>
                  </c:pt>
                  <c:pt idx="10">
                    <c:v>2.0201%</c:v>
                  </c:pt>
                </c:lvl>
                <c:lvl>
                  <c:pt idx="0">
                    <c:v>r</c:v>
                  </c:pt>
                  <c:pt idx="1">
                    <c:v>r</c:v>
                  </c:pt>
                  <c:pt idx="2">
                    <c:v>r_simple</c:v>
                  </c:pt>
                  <c:pt idx="7">
                    <c:v>2%</c:v>
                  </c:pt>
                  <c:pt idx="8">
                    <c:v>1</c:v>
                  </c:pt>
                  <c:pt idx="9">
                    <c:v>2.00%</c:v>
                  </c:pt>
                  <c:pt idx="10">
                    <c:v>2.0201%</c:v>
                  </c:pt>
                </c:lvl>
                <c:lvl>
                  <c:pt idx="0">
                    <c:v>Annual ROI (due to Compound)</c:v>
                  </c:pt>
                  <c:pt idx="1">
                    <c:v>Approximation formulae</c:v>
                  </c:pt>
                  <c:pt idx="2">
                    <c:v>Annual ROI (Simple Interest)</c:v>
                  </c:pt>
                  <c:pt idx="6">
                    <c:v>Daily Interest Rate vs Annually</c:v>
                  </c:pt>
                  <c:pt idx="7">
                    <c:v>Annual Interest, r</c:v>
                  </c:pt>
                  <c:pt idx="8">
                    <c:v># of Years, N</c:v>
                  </c:pt>
                  <c:pt idx="9">
                    <c:v>Total ROI after N years (Applied Annual)</c:v>
                  </c:pt>
                  <c:pt idx="10">
                    <c:v>Total ROI after N years (Applied Daily)</c:v>
                  </c:pt>
                </c:lvl>
              </c:multiLvlStrCache>
            </c:multiLvlStrRef>
          </c:xVal>
          <c:yVal>
            <c:numRef>
              <c:f>'Compound Interest Analysis'!$J$3:$J$23</c:f>
              <c:numCache>
                <c:formatCode>0.0%</c:formatCode>
                <c:ptCount val="21"/>
                <c:pt idx="0" formatCode="0%">
                  <c:v>0.09</c:v>
                </c:pt>
                <c:pt idx="1">
                  <c:v>9.000000000000008E-2</c:v>
                </c:pt>
                <c:pt idx="2">
                  <c:v>0.18810000000000016</c:v>
                </c:pt>
                <c:pt idx="3">
                  <c:v>0.29502900000000021</c:v>
                </c:pt>
                <c:pt idx="4">
                  <c:v>0.41158161000000026</c:v>
                </c:pt>
                <c:pt idx="5">
                  <c:v>0.53862395490000048</c:v>
                </c:pt>
                <c:pt idx="6">
                  <c:v>0.67710011084100064</c:v>
                </c:pt>
                <c:pt idx="7">
                  <c:v>0.82803912081669062</c:v>
                </c:pt>
                <c:pt idx="8">
                  <c:v>0.99256264169019293</c:v>
                </c:pt>
                <c:pt idx="9">
                  <c:v>1.1718932794423105</c:v>
                </c:pt>
                <c:pt idx="10">
                  <c:v>1.3673636745921187</c:v>
                </c:pt>
                <c:pt idx="11">
                  <c:v>1.5804264053054093</c:v>
                </c:pt>
                <c:pt idx="12">
                  <c:v>1.812664781782896</c:v>
                </c:pt>
                <c:pt idx="13">
                  <c:v>2.0658046121433573</c:v>
                </c:pt>
                <c:pt idx="14">
                  <c:v>2.3417270272362596</c:v>
                </c:pt>
                <c:pt idx="15">
                  <c:v>2.6424824596875229</c:v>
                </c:pt>
                <c:pt idx="16">
                  <c:v>2.9703058810594003</c:v>
                </c:pt>
                <c:pt idx="17">
                  <c:v>3.3276334103547462</c:v>
                </c:pt>
                <c:pt idx="18">
                  <c:v>3.7171204172866741</c:v>
                </c:pt>
                <c:pt idx="19">
                  <c:v>4.1416612548424752</c:v>
                </c:pt>
                <c:pt idx="20">
                  <c:v>4.6044107677782975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15-41BF-A6FA-73926CA5F399}"/>
            </c:ext>
          </c:extLst>
        </c:ser>
        <c:ser>
          <c:idx val="6"/>
          <c:order val="5"/>
          <c:tx>
            <c:strRef>
              <c:f>'Compound Interest Analysis'!$K$3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'Compound Interest Analysis'!$A$4:$E$23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3.53%</c:v>
                  </c:pt>
                  <c:pt idx="1">
                    <c:v>3.47%</c:v>
                  </c:pt>
                  <c:pt idx="2">
                    <c:v>5.00%</c:v>
                  </c:pt>
                  <c:pt idx="10">
                    <c:v>2.0201%</c:v>
                  </c:pt>
                </c:lvl>
                <c:lvl>
                  <c:pt idx="0">
                    <c:v>r</c:v>
                  </c:pt>
                  <c:pt idx="1">
                    <c:v>r</c:v>
                  </c:pt>
                  <c:pt idx="2">
                    <c:v>r_simple</c:v>
                  </c:pt>
                  <c:pt idx="7">
                    <c:v>2%</c:v>
                  </c:pt>
                  <c:pt idx="8">
                    <c:v>1</c:v>
                  </c:pt>
                  <c:pt idx="9">
                    <c:v>2.00%</c:v>
                  </c:pt>
                  <c:pt idx="10">
                    <c:v>2.0201%</c:v>
                  </c:pt>
                </c:lvl>
                <c:lvl>
                  <c:pt idx="0">
                    <c:v>Annual ROI (due to Compound)</c:v>
                  </c:pt>
                  <c:pt idx="1">
                    <c:v>Approximation formulae</c:v>
                  </c:pt>
                  <c:pt idx="2">
                    <c:v>Annual ROI (Simple Interest)</c:v>
                  </c:pt>
                  <c:pt idx="6">
                    <c:v>Daily Interest Rate vs Annually</c:v>
                  </c:pt>
                  <c:pt idx="7">
                    <c:v>Annual Interest, r</c:v>
                  </c:pt>
                  <c:pt idx="8">
                    <c:v># of Years, N</c:v>
                  </c:pt>
                  <c:pt idx="9">
                    <c:v>Total ROI after N years (Applied Annual)</c:v>
                  </c:pt>
                  <c:pt idx="10">
                    <c:v>Total ROI after N years (Applied Daily)</c:v>
                  </c:pt>
                </c:lvl>
              </c:multiLvlStrCache>
            </c:multiLvlStrRef>
          </c:xVal>
          <c:yVal>
            <c:numRef>
              <c:f>'Compound Interest Analysis'!$K$3:$K$23</c:f>
              <c:numCache>
                <c:formatCode>0.0%</c:formatCode>
                <c:ptCount val="21"/>
                <c:pt idx="0" formatCode="0%">
                  <c:v>0.1</c:v>
                </c:pt>
                <c:pt idx="1">
                  <c:v>0.10000000000000009</c:v>
                </c:pt>
                <c:pt idx="2">
                  <c:v>0.21000000000000019</c:v>
                </c:pt>
                <c:pt idx="3">
                  <c:v>0.33100000000000041</c:v>
                </c:pt>
                <c:pt idx="4">
                  <c:v>0.4641000000000004</c:v>
                </c:pt>
                <c:pt idx="5">
                  <c:v>0.61051000000000055</c:v>
                </c:pt>
                <c:pt idx="6">
                  <c:v>0.77156100000000083</c:v>
                </c:pt>
                <c:pt idx="7">
                  <c:v>0.9487171000000012</c:v>
                </c:pt>
                <c:pt idx="8">
                  <c:v>1.1435888100000011</c:v>
                </c:pt>
                <c:pt idx="9">
                  <c:v>1.3579476910000015</c:v>
                </c:pt>
                <c:pt idx="10">
                  <c:v>1.5937424601000019</c:v>
                </c:pt>
                <c:pt idx="11">
                  <c:v>1.8531167061100025</c:v>
                </c:pt>
                <c:pt idx="12">
                  <c:v>2.1384283767210026</c:v>
                </c:pt>
                <c:pt idx="13">
                  <c:v>2.4522712143931029</c:v>
                </c:pt>
                <c:pt idx="14">
                  <c:v>2.7974983358324139</c:v>
                </c:pt>
                <c:pt idx="15">
                  <c:v>3.1772481694156554</c:v>
                </c:pt>
                <c:pt idx="16">
                  <c:v>3.5949729863572211</c:v>
                </c:pt>
                <c:pt idx="17">
                  <c:v>4.0544702849929433</c:v>
                </c:pt>
                <c:pt idx="18">
                  <c:v>4.5599173134922379</c:v>
                </c:pt>
                <c:pt idx="19">
                  <c:v>5.1159090448414632</c:v>
                </c:pt>
                <c:pt idx="20">
                  <c:v>5.7274999493256091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15-41BF-A6FA-73926CA5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881039"/>
        <c:axId val="1199503679"/>
      </c:scatterChart>
      <c:valAx>
        <c:axId val="12708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503679"/>
        <c:crosses val="autoZero"/>
        <c:crossBetween val="midCat"/>
      </c:valAx>
      <c:valAx>
        <c:axId val="11995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8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18576334208223969"/>
          <c:w val="0.16787839020122483"/>
          <c:h val="0.499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Tax Rate vs Taxable Income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TaxRate!$D$3</c:f>
              <c:strCache>
                <c:ptCount val="1"/>
                <c:pt idx="0">
                  <c:v>Income Tax Rate</c:v>
                </c:pt>
              </c:strCache>
            </c:strRef>
          </c:tx>
          <c:xVal>
            <c:numRef>
              <c:f>TaxRate!$C$4:$C$44</c:f>
              <c:numCache>
                <c:formatCode>"$"#,##0.0</c:formatCode>
                <c:ptCount val="41"/>
                <c:pt idx="0">
                  <c:v>10000</c:v>
                </c:pt>
                <c:pt idx="1">
                  <c:v>11000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300000</c:v>
                </c:pt>
                <c:pt idx="32">
                  <c:v>350000</c:v>
                </c:pt>
                <c:pt idx="33">
                  <c:v>400000</c:v>
                </c:pt>
                <c:pt idx="34">
                  <c:v>450000</c:v>
                </c:pt>
                <c:pt idx="35">
                  <c:v>500000</c:v>
                </c:pt>
                <c:pt idx="36">
                  <c:v>600000</c:v>
                </c:pt>
                <c:pt idx="37">
                  <c:v>700000</c:v>
                </c:pt>
                <c:pt idx="38">
                  <c:v>800000</c:v>
                </c:pt>
                <c:pt idx="39">
                  <c:v>900000</c:v>
                </c:pt>
                <c:pt idx="40">
                  <c:v>1000000</c:v>
                </c:pt>
              </c:numCache>
            </c:numRef>
          </c:xVal>
          <c:yVal>
            <c:numRef>
              <c:f>TaxRate!$D$4:$D$44</c:f>
              <c:numCache>
                <c:formatCode>0.00%</c:formatCode>
                <c:ptCount val="41"/>
                <c:pt idx="0">
                  <c:v>0</c:v>
                </c:pt>
                <c:pt idx="1">
                  <c:v>7.7272727272727276E-3</c:v>
                </c:pt>
                <c:pt idx="2">
                  <c:v>3.2333333333333332E-2</c:v>
                </c:pt>
                <c:pt idx="3">
                  <c:v>5.1200000000000002E-2</c:v>
                </c:pt>
                <c:pt idx="4">
                  <c:v>7.0959999999999995E-2</c:v>
                </c:pt>
                <c:pt idx="5">
                  <c:v>8.4133333333333338E-2</c:v>
                </c:pt>
                <c:pt idx="6">
                  <c:v>9.3542857142857136E-2</c:v>
                </c:pt>
                <c:pt idx="7">
                  <c:v>0.10059999999999999</c:v>
                </c:pt>
                <c:pt idx="8">
                  <c:v>0.10608888888888889</c:v>
                </c:pt>
                <c:pt idx="9">
                  <c:v>0.11638</c:v>
                </c:pt>
                <c:pt idx="10">
                  <c:v>0.12852727272727274</c:v>
                </c:pt>
                <c:pt idx="11">
                  <c:v>0.13865</c:v>
                </c:pt>
                <c:pt idx="12">
                  <c:v>0.15455714285714287</c:v>
                </c:pt>
                <c:pt idx="13">
                  <c:v>0.16648750000000001</c:v>
                </c:pt>
                <c:pt idx="14">
                  <c:v>0.17576666666666665</c:v>
                </c:pt>
                <c:pt idx="15">
                  <c:v>0.18334</c:v>
                </c:pt>
                <c:pt idx="16">
                  <c:v>0.19212727272727273</c:v>
                </c:pt>
                <c:pt idx="17">
                  <c:v>0.19944999999999999</c:v>
                </c:pt>
                <c:pt idx="18">
                  <c:v>0.20564615384615384</c:v>
                </c:pt>
                <c:pt idx="19">
                  <c:v>0.21095714285714287</c:v>
                </c:pt>
                <c:pt idx="20">
                  <c:v>0.21556</c:v>
                </c:pt>
                <c:pt idx="21">
                  <c:v>0.21958749999999999</c:v>
                </c:pt>
                <c:pt idx="22">
                  <c:v>0.22314117647058823</c:v>
                </c:pt>
                <c:pt idx="23">
                  <c:v>0.2263</c:v>
                </c:pt>
                <c:pt idx="24">
                  <c:v>0.22912631578947368</c:v>
                </c:pt>
                <c:pt idx="25">
                  <c:v>0.232545</c:v>
                </c:pt>
                <c:pt idx="26">
                  <c:v>0.23761428571428572</c:v>
                </c:pt>
                <c:pt idx="27">
                  <c:v>0.24222272727272728</c:v>
                </c:pt>
                <c:pt idx="28">
                  <c:v>0.2464304347826087</c:v>
                </c:pt>
                <c:pt idx="29">
                  <c:v>0.2502875</c:v>
                </c:pt>
                <c:pt idx="30">
                  <c:v>0.25383600000000001</c:v>
                </c:pt>
                <c:pt idx="31">
                  <c:v>0.26967999999999998</c:v>
                </c:pt>
                <c:pt idx="32">
                  <c:v>0.28107142857142858</c:v>
                </c:pt>
                <c:pt idx="33">
                  <c:v>0.28903000000000001</c:v>
                </c:pt>
                <c:pt idx="34">
                  <c:v>0.30009111111111109</c:v>
                </c:pt>
                <c:pt idx="35">
                  <c:v>0.31058200000000002</c:v>
                </c:pt>
                <c:pt idx="36">
                  <c:v>0.32631833333333332</c:v>
                </c:pt>
                <c:pt idx="37">
                  <c:v>0.33755857142857143</c:v>
                </c:pt>
                <c:pt idx="38">
                  <c:v>0.34598875000000001</c:v>
                </c:pt>
                <c:pt idx="39">
                  <c:v>0.35254555555555556</c:v>
                </c:pt>
                <c:pt idx="40">
                  <c:v>0.35779100000000003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A-404B-8BE0-E0194CD5316D}"/>
            </c:ext>
          </c:extLst>
        </c:ser>
        <c:ser>
          <c:idx val="1"/>
          <c:order val="1"/>
          <c:tx>
            <c:strRef>
              <c:f>TaxRate!$F$3</c:f>
              <c:strCache>
                <c:ptCount val="1"/>
                <c:pt idx="0">
                  <c:v>Income Tax Rate Model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TaxRate!$C$4:$C$44</c:f>
              <c:numCache>
                <c:formatCode>"$"#,##0.0</c:formatCode>
                <c:ptCount val="41"/>
                <c:pt idx="0">
                  <c:v>10000</c:v>
                </c:pt>
                <c:pt idx="1">
                  <c:v>11000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300000</c:v>
                </c:pt>
                <c:pt idx="32">
                  <c:v>350000</c:v>
                </c:pt>
                <c:pt idx="33">
                  <c:v>400000</c:v>
                </c:pt>
                <c:pt idx="34">
                  <c:v>450000</c:v>
                </c:pt>
                <c:pt idx="35">
                  <c:v>500000</c:v>
                </c:pt>
                <c:pt idx="36">
                  <c:v>600000</c:v>
                </c:pt>
                <c:pt idx="37">
                  <c:v>700000</c:v>
                </c:pt>
                <c:pt idx="38">
                  <c:v>800000</c:v>
                </c:pt>
                <c:pt idx="39">
                  <c:v>900000</c:v>
                </c:pt>
                <c:pt idx="40">
                  <c:v>1000000</c:v>
                </c:pt>
              </c:numCache>
            </c:numRef>
          </c:xVal>
          <c:yVal>
            <c:numRef>
              <c:f>TaxRate!$F$4:$F$44</c:f>
              <c:numCache>
                <c:formatCode>0.00%</c:formatCode>
                <c:ptCount val="41"/>
                <c:pt idx="0">
                  <c:v>0</c:v>
                </c:pt>
                <c:pt idx="1">
                  <c:v>7.7809766950768383E-3</c:v>
                </c:pt>
                <c:pt idx="2">
                  <c:v>3.1478304753166181E-2</c:v>
                </c:pt>
                <c:pt idx="3">
                  <c:v>5.2236250349632148E-2</c:v>
                </c:pt>
                <c:pt idx="4">
                  <c:v>6.8402513694589329E-2</c:v>
                </c:pt>
                <c:pt idx="5">
                  <c:v>8.1842171846918776E-2</c:v>
                </c:pt>
                <c:pt idx="6">
                  <c:v>9.3421035601744043E-2</c:v>
                </c:pt>
                <c:pt idx="7">
                  <c:v>0.10362849156185763</c:v>
                </c:pt>
                <c:pt idx="8">
                  <c:v>0.1127738128580611</c:v>
                </c:pt>
                <c:pt idx="9">
                  <c:v>0.1210672810192582</c:v>
                </c:pt>
                <c:pt idx="10">
                  <c:v>0.12865951308771109</c:v>
                </c:pt>
                <c:pt idx="11">
                  <c:v>0.13566269534449746</c:v>
                </c:pt>
                <c:pt idx="12">
                  <c:v>0.14822818246209502</c:v>
                </c:pt>
                <c:pt idx="13">
                  <c:v>0.15926118952896276</c:v>
                </c:pt>
                <c:pt idx="14">
                  <c:v>0.16909116808852689</c:v>
                </c:pt>
                <c:pt idx="15">
                  <c:v>0.17794896816032349</c:v>
                </c:pt>
                <c:pt idx="16">
                  <c:v>0.18600332064531044</c:v>
                </c:pt>
                <c:pt idx="17">
                  <c:v>0.19338167206141579</c:v>
                </c:pt>
                <c:pt idx="18">
                  <c:v>0.20018285665735236</c:v>
                </c:pt>
                <c:pt idx="19">
                  <c:v>0.20648519674561142</c:v>
                </c:pt>
                <c:pt idx="20">
                  <c:v>0.21235189374193811</c:v>
                </c:pt>
                <c:pt idx="21">
                  <c:v>0.21783473803145262</c:v>
                </c:pt>
                <c:pt idx="22">
                  <c:v>0.22297673490092243</c:v>
                </c:pt>
                <c:pt idx="23">
                  <c:v>0.22781400858271902</c:v>
                </c:pt>
                <c:pt idx="24">
                  <c:v>0.23237721197038749</c:v>
                </c:pt>
                <c:pt idx="25">
                  <c:v>0.23669258956107245</c:v>
                </c:pt>
                <c:pt idx="26">
                  <c:v>0.24078279193220395</c:v>
                </c:pt>
                <c:pt idx="27">
                  <c:v>0.24466750882771035</c:v>
                </c:pt>
                <c:pt idx="28">
                  <c:v>0.24836396759547646</c:v>
                </c:pt>
                <c:pt idx="29">
                  <c:v>0.2518873301677117</c:v>
                </c:pt>
                <c:pt idx="30">
                  <c:v>0.25525101255608246</c:v>
                </c:pt>
                <c:pt idx="31">
                  <c:v>0.27005067598148624</c:v>
                </c:pt>
                <c:pt idx="32">
                  <c:v>0.28221550205879958</c:v>
                </c:pt>
                <c:pt idx="33">
                  <c:v>0.29243584033610159</c:v>
                </c:pt>
                <c:pt idx="34">
                  <c:v>0.30116629013119506</c:v>
                </c:pt>
                <c:pt idx="35">
                  <c:v>0.30872196318852274</c:v>
                </c:pt>
                <c:pt idx="36">
                  <c:v>0.3211597298173724</c:v>
                </c:pt>
                <c:pt idx="37">
                  <c:v>0.33097149931884656</c:v>
                </c:pt>
                <c:pt idx="38">
                  <c:v>0.33889260836747642</c:v>
                </c:pt>
                <c:pt idx="39">
                  <c:v>0.34539800666189208</c:v>
                </c:pt>
                <c:pt idx="40">
                  <c:v>0.35081102019445948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5A-404B-8BE0-E0194CD5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1648"/>
        <c:axId val="93773184"/>
      </c:scatterChart>
      <c:valAx>
        <c:axId val="93771648"/>
        <c:scaling>
          <c:orientation val="minMax"/>
        </c:scaling>
        <c:delete val="0"/>
        <c:axPos val="b"/>
        <c:numFmt formatCode="&quot;$&quot;#,##0.0" sourceLinked="1"/>
        <c:majorTickMark val="out"/>
        <c:minorTickMark val="none"/>
        <c:tickLblPos val="nextTo"/>
        <c:crossAx val="93773184"/>
        <c:crosses val="autoZero"/>
        <c:crossBetween val="midCat"/>
      </c:valAx>
      <c:valAx>
        <c:axId val="937731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377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ln(y) vs ln(x)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627296587926513E-2"/>
          <c:y val="0.2066069978662739"/>
          <c:w val="0.66051071741032374"/>
          <c:h val="0.67803734964784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TaxRate!$I$3</c:f>
              <c:strCache>
                <c:ptCount val="1"/>
                <c:pt idx="0">
                  <c:v>ln(y)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6923206474190727"/>
                  <c:y val="-5.3353747448235634E-3"/>
                </c:manualLayout>
              </c:layout>
              <c:numFmt formatCode="General" sourceLinked="0"/>
            </c:trendlineLbl>
          </c:trendline>
          <c:xVal>
            <c:numRef>
              <c:f>TaxRate!$H$4:$H$44</c:f>
              <c:numCache>
                <c:formatCode>General</c:formatCode>
                <c:ptCount val="41"/>
                <c:pt idx="1">
                  <c:v>6.9077552789821368</c:v>
                </c:pt>
                <c:pt idx="2">
                  <c:v>8.5171931914162382</c:v>
                </c:pt>
                <c:pt idx="3">
                  <c:v>9.2103403719761836</c:v>
                </c:pt>
                <c:pt idx="4">
                  <c:v>9.6158054800843473</c:v>
                </c:pt>
                <c:pt idx="5">
                  <c:v>9.9034875525361272</c:v>
                </c:pt>
                <c:pt idx="6">
                  <c:v>10.126631103850338</c:v>
                </c:pt>
                <c:pt idx="7">
                  <c:v>10.308952660644293</c:v>
                </c:pt>
                <c:pt idx="8">
                  <c:v>10.46310334047155</c:v>
                </c:pt>
                <c:pt idx="9">
                  <c:v>10.596634733096073</c:v>
                </c:pt>
                <c:pt idx="10">
                  <c:v>10.714417768752456</c:v>
                </c:pt>
                <c:pt idx="11">
                  <c:v>10.819778284410283</c:v>
                </c:pt>
                <c:pt idx="12">
                  <c:v>11.002099841204238</c:v>
                </c:pt>
                <c:pt idx="13">
                  <c:v>11.156250521031495</c:v>
                </c:pt>
                <c:pt idx="14">
                  <c:v>11.289781913656018</c:v>
                </c:pt>
                <c:pt idx="15">
                  <c:v>11.407564949312402</c:v>
                </c:pt>
                <c:pt idx="16">
                  <c:v>11.512925464970229</c:v>
                </c:pt>
                <c:pt idx="17">
                  <c:v>11.608235644774552</c:v>
                </c:pt>
                <c:pt idx="18">
                  <c:v>11.695247021764184</c:v>
                </c:pt>
                <c:pt idx="19">
                  <c:v>11.77528972943772</c:v>
                </c:pt>
                <c:pt idx="20">
                  <c:v>11.849397701591441</c:v>
                </c:pt>
                <c:pt idx="21">
                  <c:v>11.918390573078392</c:v>
                </c:pt>
                <c:pt idx="22">
                  <c:v>11.982929094215963</c:v>
                </c:pt>
                <c:pt idx="23">
                  <c:v>12.043553716032399</c:v>
                </c:pt>
                <c:pt idx="24">
                  <c:v>12.100712129872347</c:v>
                </c:pt>
                <c:pt idx="25">
                  <c:v>12.154779351142624</c:v>
                </c:pt>
                <c:pt idx="26">
                  <c:v>12.206072645530174</c:v>
                </c:pt>
                <c:pt idx="27">
                  <c:v>12.254862809699606</c:v>
                </c:pt>
                <c:pt idx="28">
                  <c:v>12.301382825334498</c:v>
                </c:pt>
                <c:pt idx="29">
                  <c:v>12.345834587905333</c:v>
                </c:pt>
                <c:pt idx="30">
                  <c:v>12.388394202324129</c:v>
                </c:pt>
                <c:pt idx="31">
                  <c:v>12.577636201962656</c:v>
                </c:pt>
                <c:pt idx="32">
                  <c:v>12.736700896592344</c:v>
                </c:pt>
                <c:pt idx="33">
                  <c:v>12.873902018105829</c:v>
                </c:pt>
                <c:pt idx="34">
                  <c:v>12.994530005894443</c:v>
                </c:pt>
                <c:pt idx="35">
                  <c:v>13.102160670086809</c:v>
                </c:pt>
                <c:pt idx="36">
                  <c:v>13.287877815881902</c:v>
                </c:pt>
                <c:pt idx="37">
                  <c:v>13.444446876573442</c:v>
                </c:pt>
                <c:pt idx="38">
                  <c:v>13.579788224443204</c:v>
                </c:pt>
                <c:pt idx="39">
                  <c:v>13.698976741708323</c:v>
                </c:pt>
                <c:pt idx="40">
                  <c:v>13.805460222110773</c:v>
                </c:pt>
              </c:numCache>
            </c:numRef>
          </c:xVal>
          <c:yVal>
            <c:numRef>
              <c:f>TaxRate!$I$4:$I$44</c:f>
              <c:numCache>
                <c:formatCode>General</c:formatCode>
                <c:ptCount val="41"/>
                <c:pt idx="1">
                  <c:v>-4.8629992952901908</c:v>
                </c:pt>
                <c:pt idx="2">
                  <c:v>-3.431656589146864</c:v>
                </c:pt>
                <c:pt idx="3">
                  <c:v>-2.972015746936675</c:v>
                </c:pt>
                <c:pt idx="4">
                  <c:v>-2.6456389409808132</c:v>
                </c:pt>
                <c:pt idx="5">
                  <c:v>-2.4753524369831887</c:v>
                </c:pt>
                <c:pt idx="6">
                  <c:v>-2.3693355825404705</c:v>
                </c:pt>
                <c:pt idx="7">
                  <c:v>-2.2966030213164981</c:v>
                </c:pt>
                <c:pt idx="8">
                  <c:v>-2.2434779618536815</c:v>
                </c:pt>
                <c:pt idx="9">
                  <c:v>-2.1508945797536132</c:v>
                </c:pt>
                <c:pt idx="10">
                  <c:v>-2.051614158043654</c:v>
                </c:pt>
                <c:pt idx="11">
                  <c:v>-1.97580250692035</c:v>
                </c:pt>
                <c:pt idx="12">
                  <c:v>-1.8671913943439227</c:v>
                </c:pt>
                <c:pt idx="13">
                  <c:v>-1.7928350474549881</c:v>
                </c:pt>
                <c:pt idx="14">
                  <c:v>-1.7385979211138227</c:v>
                </c:pt>
                <c:pt idx="15">
                  <c:v>-1.6964129264485075</c:v>
                </c:pt>
                <c:pt idx="16">
                  <c:v>-1.6495972477735772</c:v>
                </c:pt>
                <c:pt idx="17">
                  <c:v>-1.6121917006307214</c:v>
                </c:pt>
                <c:pt idx="18">
                  <c:v>-1.5815982869063012</c:v>
                </c:pt>
                <c:pt idx="19">
                  <c:v>-1.556100280557722</c:v>
                </c:pt>
                <c:pt idx="20">
                  <c:v>-1.5345159859168411</c:v>
                </c:pt>
                <c:pt idx="21">
                  <c:v>-1.5160044926426357</c:v>
                </c:pt>
                <c:pt idx="22">
                  <c:v>-1.4999506294881311</c:v>
                </c:pt>
                <c:pt idx="23">
                  <c:v>-1.4858937263426453</c:v>
                </c:pt>
                <c:pt idx="24">
                  <c:v>-1.4734818301678407</c:v>
                </c:pt>
                <c:pt idx="25">
                  <c:v>-1.4586715242957018</c:v>
                </c:pt>
                <c:pt idx="26">
                  <c:v>-1.4371065682409612</c:v>
                </c:pt>
                <c:pt idx="27">
                  <c:v>-1.4178976154665031</c:v>
                </c:pt>
                <c:pt idx="28">
                  <c:v>-1.4006755371639048</c:v>
                </c:pt>
                <c:pt idx="29">
                  <c:v>-1.3851450218633692</c:v>
                </c:pt>
                <c:pt idx="30">
                  <c:v>-1.3710668897891234</c:v>
                </c:pt>
                <c:pt idx="31">
                  <c:v>-1.3105192080563319</c:v>
                </c:pt>
                <c:pt idx="32">
                  <c:v>-1.269146447745892</c:v>
                </c:pt>
                <c:pt idx="33">
                  <c:v>-1.2412247900288249</c:v>
                </c:pt>
                <c:pt idx="34">
                  <c:v>-1.2036691467308669</c:v>
                </c:pt>
                <c:pt idx="35">
                  <c:v>-1.1693073222971424</c:v>
                </c:pt>
                <c:pt idx="36">
                  <c:v>-1.1198818914468562</c:v>
                </c:pt>
                <c:pt idx="37">
                  <c:v>-1.0860162387531944</c:v>
                </c:pt>
                <c:pt idx="38">
                  <c:v>-1.0613490189038861</c:v>
                </c:pt>
                <c:pt idx="39">
                  <c:v>-1.0425754294614196</c:v>
                </c:pt>
                <c:pt idx="40">
                  <c:v>-1.0278062619410386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77-4FF2-AB7B-5AACF5B8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0432"/>
        <c:axId val="186611968"/>
      </c:scatterChart>
      <c:valAx>
        <c:axId val="1866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611968"/>
        <c:crossesAt val="-6"/>
        <c:crossBetween val="midCat"/>
      </c:valAx>
      <c:valAx>
        <c:axId val="186611968"/>
        <c:scaling>
          <c:orientation val="minMax"/>
          <c:max val="0"/>
          <c:min val="-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10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1</xdr:row>
      <xdr:rowOff>12700</xdr:rowOff>
    </xdr:from>
    <xdr:to>
      <xdr:col>12</xdr:col>
      <xdr:colOff>12701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136E1-B4BD-4C31-B97E-C02C33F3A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41275</xdr:colOff>
      <xdr:row>1</xdr:row>
      <xdr:rowOff>6350</xdr:rowOff>
    </xdr:from>
    <xdr:to>
      <xdr:col>15</xdr:col>
      <xdr:colOff>1066801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736BE-7B42-405A-9C52-A5693939A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708024</xdr:colOff>
      <xdr:row>1</xdr:row>
      <xdr:rowOff>0</xdr:rowOff>
    </xdr:from>
    <xdr:to>
      <xdr:col>13</xdr:col>
      <xdr:colOff>609599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6EBC1-3805-4B8B-9FF5-9AE066D78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15874</xdr:colOff>
      <xdr:row>3</xdr:row>
      <xdr:rowOff>12700</xdr:rowOff>
    </xdr:from>
    <xdr:to>
      <xdr:col>30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CDDAB-8B55-4E1E-8954-486BE1E29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28574</xdr:colOff>
      <xdr:row>6</xdr:row>
      <xdr:rowOff>0</xdr:rowOff>
    </xdr:from>
    <xdr:to>
      <xdr:col>11</xdr:col>
      <xdr:colOff>57149</xdr:colOff>
      <xdr:row>22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478D50-5B32-4B3E-93E1-02723A729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3</xdr:row>
      <xdr:rowOff>90487</xdr:rowOff>
    </xdr:from>
    <xdr:to>
      <xdr:col>17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48CF9-0E9C-426F-A6EA-5C41A56D4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19</xdr:row>
      <xdr:rowOff>7937</xdr:rowOff>
    </xdr:from>
    <xdr:to>
      <xdr:col>17</xdr:col>
      <xdr:colOff>330200</xdr:colOff>
      <xdr:row>33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5F104-0349-498D-9239-D26550FB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2"/>
  <sheetViews>
    <sheetView topLeftCell="B1" workbookViewId="0">
      <selection activeCell="N21" sqref="N21"/>
    </sheetView>
  </sheetViews>
  <sheetFormatPr defaultRowHeight="12.5" x14ac:dyDescent="0.25"/>
  <cols>
    <col min="1" max="2" width="8.7265625" style="3"/>
    <col min="3" max="3" width="24.453125" style="3" customWidth="1"/>
    <col min="4" max="4" width="9.7265625" style="3" customWidth="1"/>
    <col min="5" max="5" width="9.90625" style="3" customWidth="1"/>
    <col min="6" max="6" width="9.453125" style="3" customWidth="1"/>
    <col min="7" max="7" width="11.1796875" style="3" customWidth="1"/>
    <col min="8" max="8" width="8.7265625" style="3"/>
    <col min="9" max="9" width="8.7265625" style="10"/>
    <col min="10" max="13" width="8.7265625" style="3"/>
    <col min="14" max="14" width="16.54296875" style="3" customWidth="1"/>
    <col min="15" max="15" width="15.7265625" style="3" bestFit="1" customWidth="1"/>
    <col min="16" max="16" width="15.7265625" style="3" customWidth="1"/>
    <col min="17" max="17" width="19.26953125" style="9" bestFit="1" customWidth="1"/>
    <col min="18" max="18" width="14.453125" style="3" customWidth="1"/>
    <col min="19" max="19" width="11.90625" style="9" bestFit="1" customWidth="1"/>
    <col min="20" max="16384" width="8.7265625" style="3"/>
  </cols>
  <sheetData>
    <row r="2" spans="3:16" x14ac:dyDescent="0.25">
      <c r="C2" s="1" t="s">
        <v>0</v>
      </c>
      <c r="D2" s="1" t="s">
        <v>1</v>
      </c>
      <c r="E2" s="2">
        <v>60000</v>
      </c>
    </row>
    <row r="3" spans="3:16" x14ac:dyDescent="0.25">
      <c r="C3" s="1" t="s">
        <v>2</v>
      </c>
      <c r="D3" s="1" t="s">
        <v>3</v>
      </c>
      <c r="E3" s="2">
        <v>1000000</v>
      </c>
    </row>
    <row r="4" spans="3:16" x14ac:dyDescent="0.25">
      <c r="C4" s="3" t="s">
        <v>4</v>
      </c>
      <c r="D4" s="3" t="s">
        <v>5</v>
      </c>
      <c r="E4" s="2">
        <v>0</v>
      </c>
      <c r="F4" s="4"/>
    </row>
    <row r="5" spans="3:16" x14ac:dyDescent="0.25">
      <c r="C5" s="1" t="s">
        <v>6</v>
      </c>
      <c r="D5" s="1" t="s">
        <v>7</v>
      </c>
      <c r="E5" s="5">
        <v>0.02</v>
      </c>
      <c r="F5" s="4"/>
    </row>
    <row r="6" spans="3:16" x14ac:dyDescent="0.25">
      <c r="C6" s="1" t="s">
        <v>8</v>
      </c>
      <c r="D6" s="1" t="s">
        <v>9</v>
      </c>
      <c r="E6" s="6">
        <v>0.09</v>
      </c>
      <c r="F6" s="4"/>
    </row>
    <row r="7" spans="3:16" ht="14.5" x14ac:dyDescent="0.35">
      <c r="C7" s="1" t="s">
        <v>10</v>
      </c>
      <c r="D7" s="1" t="s">
        <v>11</v>
      </c>
      <c r="E7" s="5">
        <v>0.25</v>
      </c>
      <c r="F7" s="4"/>
      <c r="N7" s="26" t="s">
        <v>76</v>
      </c>
      <c r="O7" s="27"/>
      <c r="P7" s="15"/>
    </row>
    <row r="8" spans="3:16" x14ac:dyDescent="0.25">
      <c r="C8" s="1" t="s">
        <v>12</v>
      </c>
      <c r="D8" s="1" t="s">
        <v>13</v>
      </c>
      <c r="E8" s="6">
        <f>E6*(1-E7)</f>
        <v>6.7500000000000004E-2</v>
      </c>
      <c r="F8" s="7"/>
      <c r="G8" s="1"/>
      <c r="N8" s="3" t="s">
        <v>77</v>
      </c>
      <c r="O8" s="25">
        <f>1+E8</f>
        <v>1.0674999999999999</v>
      </c>
      <c r="P8" s="25"/>
    </row>
    <row r="9" spans="3:16" x14ac:dyDescent="0.25">
      <c r="D9" s="1" t="s">
        <v>14</v>
      </c>
      <c r="E9" s="7">
        <f>E2/E3</f>
        <v>0.06</v>
      </c>
      <c r="F9" s="7"/>
      <c r="N9" s="3" t="s">
        <v>78</v>
      </c>
      <c r="O9" s="25">
        <f>1+E5</f>
        <v>1.02</v>
      </c>
      <c r="P9" s="25"/>
    </row>
    <row r="10" spans="3:16" x14ac:dyDescent="0.25">
      <c r="D10" s="1" t="s">
        <v>15</v>
      </c>
      <c r="E10" s="7">
        <f>E2/E3/(1-E7)</f>
        <v>0.08</v>
      </c>
      <c r="N10" s="3" t="s">
        <v>83</v>
      </c>
      <c r="O10" s="3">
        <f>O9^2/(O8-O9)</f>
        <v>21.9031578947369</v>
      </c>
    </row>
    <row r="11" spans="3:16" x14ac:dyDescent="0.25">
      <c r="C11" s="3" t="s">
        <v>85</v>
      </c>
      <c r="E11" s="24">
        <f>E2/12</f>
        <v>5000</v>
      </c>
      <c r="N11" s="3" t="s">
        <v>14</v>
      </c>
      <c r="O11" s="6">
        <f>E2/E3</f>
        <v>0.06</v>
      </c>
      <c r="P11" s="6"/>
    </row>
    <row r="12" spans="3:16" x14ac:dyDescent="0.25">
      <c r="C12" s="1" t="s">
        <v>16</v>
      </c>
      <c r="N12" s="3" t="s">
        <v>86</v>
      </c>
      <c r="O12" s="3">
        <f>O10*O11</f>
        <v>1.3141894736842139</v>
      </c>
    </row>
    <row r="13" spans="3:16" x14ac:dyDescent="0.25">
      <c r="C13" s="1" t="s">
        <v>17</v>
      </c>
      <c r="N13" s="3" t="s">
        <v>84</v>
      </c>
      <c r="O13" s="6">
        <f>E4/E3</f>
        <v>0</v>
      </c>
      <c r="P13" s="6"/>
    </row>
    <row r="14" spans="3:16" x14ac:dyDescent="0.25">
      <c r="N14" s="3" t="s">
        <v>88</v>
      </c>
      <c r="O14" s="3">
        <f>(1-E7)/(O8-1)</f>
        <v>11.111111111111128</v>
      </c>
    </row>
    <row r="15" spans="3:16" x14ac:dyDescent="0.25">
      <c r="C15" s="1" t="s">
        <v>18</v>
      </c>
      <c r="N15" s="3" t="s">
        <v>87</v>
      </c>
      <c r="O15" s="3">
        <f>O14*O13</f>
        <v>0</v>
      </c>
    </row>
    <row r="16" spans="3:16" x14ac:dyDescent="0.25">
      <c r="C16" s="3" t="s">
        <v>74</v>
      </c>
      <c r="O16" s="23"/>
      <c r="P16" s="23"/>
    </row>
    <row r="17" spans="2:19" x14ac:dyDescent="0.25">
      <c r="C17" s="3" t="s">
        <v>80</v>
      </c>
      <c r="D17" s="4">
        <v>0.1</v>
      </c>
    </row>
    <row r="18" spans="2:19" x14ac:dyDescent="0.25">
      <c r="C18" s="3" t="s">
        <v>81</v>
      </c>
      <c r="D18" s="6">
        <v>5.5E-2</v>
      </c>
    </row>
    <row r="20" spans="2:19" x14ac:dyDescent="0.25">
      <c r="R20" s="3" t="s">
        <v>89</v>
      </c>
    </row>
    <row r="21" spans="2:19" x14ac:dyDescent="0.25">
      <c r="B21" s="1"/>
      <c r="D21" s="1" t="s">
        <v>19</v>
      </c>
      <c r="E21" s="1" t="s">
        <v>20</v>
      </c>
      <c r="F21" s="1" t="s">
        <v>21</v>
      </c>
      <c r="G21" s="1" t="s">
        <v>22</v>
      </c>
      <c r="H21" s="1" t="s">
        <v>23</v>
      </c>
      <c r="I21" s="10" t="s">
        <v>93</v>
      </c>
      <c r="J21" s="1" t="s">
        <v>24</v>
      </c>
      <c r="K21" s="8" t="s">
        <v>25</v>
      </c>
      <c r="L21" s="1" t="s">
        <v>26</v>
      </c>
      <c r="M21" s="1" t="s">
        <v>27</v>
      </c>
      <c r="N21" s="3" t="s">
        <v>75</v>
      </c>
      <c r="O21" s="3" t="s">
        <v>79</v>
      </c>
      <c r="Q21" s="9" t="s">
        <v>92</v>
      </c>
      <c r="R21" s="3" t="s">
        <v>90</v>
      </c>
      <c r="S21" s="9" t="s">
        <v>91</v>
      </c>
    </row>
    <row r="22" spans="2:19" x14ac:dyDescent="0.25">
      <c r="D22" s="3">
        <f>IF(D21="Year k",0,D21+1)</f>
        <v>0</v>
      </c>
      <c r="E22" s="9">
        <f>IF(D22=0,$E$3,(1+$E$6)*E21+$E$4-$E$7*($E$6*E21+$E$4)-$E$2*(1+$E$5)^(D22+1))</f>
        <v>1000000</v>
      </c>
      <c r="F22" s="9" t="str">
        <f>IF(D22=0,"",$E$6*E21)</f>
        <v/>
      </c>
      <c r="G22" s="9" t="str">
        <f>IF(D22=0,"",$E$6*(1-$E$7)*E21)</f>
        <v/>
      </c>
      <c r="H22" s="9" t="str">
        <f>IF(D22=0,"",$E$2*(1+$E$5)^(D22+1))</f>
        <v/>
      </c>
      <c r="I22" s="10" t="str">
        <f>IF(D22=0,"",(1-$E$7)*$E$4)</f>
        <v/>
      </c>
      <c r="J22" s="5">
        <f t="shared" ref="J22:J62" si="0">E22/$E$3</f>
        <v>1</v>
      </c>
      <c r="K22" s="10">
        <f t="shared" ref="K22:K62" si="1">IF(D22=0,0,E23-E22)</f>
        <v>0</v>
      </c>
      <c r="L22" s="5">
        <f t="shared" ref="L22:L61" si="2">IF(D22=0,0%,J23-J22)</f>
        <v>0</v>
      </c>
      <c r="M22" s="5" t="str">
        <f>IF(D22=0,"",H22/$E$2)</f>
        <v/>
      </c>
      <c r="N22" s="9">
        <f>$E$3*( $O$8^D22 - IF($O$8=$O$9,$O$9^2*$O$11*D22*$O$8^D22,$O$10*$O$11*($O$8^D22-$O$9^D22)) + $O$14*$O$13*($O$8^D22-1^D22) )</f>
        <v>1000000</v>
      </c>
      <c r="O22" s="5">
        <f>N22/$E$3</f>
        <v>1</v>
      </c>
      <c r="P22" s="5"/>
      <c r="Q22" s="9">
        <f>$E$3*$O$8^D22</f>
        <v>1000000</v>
      </c>
      <c r="R22" s="9">
        <f>$E$3*IF($O$8=$O$9,$O$9^2*$O$11*D22*$O$8^D22,$O$10*$O$11*($O$8^D22-$O$9^D22))</f>
        <v>0</v>
      </c>
      <c r="S22" s="9">
        <f>$E$3*$O$14*$O$13*($O$8^D22-1^D22)</f>
        <v>0</v>
      </c>
    </row>
    <row r="23" spans="2:19" x14ac:dyDescent="0.25">
      <c r="D23" s="3">
        <f t="shared" ref="D23:D62" si="3">IF(D22="Year k",0,D22+1)</f>
        <v>1</v>
      </c>
      <c r="E23" s="9">
        <f t="shared" ref="E23:E43" si="4">IF(D23=0,$E$3,(1+$E$6)*E22+$E$4-$E$7*($E$6*E22+$E$4)-$E$2*(1+$E$5)^(D23+1))</f>
        <v>1005076</v>
      </c>
      <c r="F23" s="9">
        <f t="shared" ref="F23:F62" si="5">IF(D23=0,"",$E$6*E22)</f>
        <v>90000</v>
      </c>
      <c r="G23" s="9">
        <f t="shared" ref="G23:G62" si="6">IF(D23=0,"",$E$6*(1-$E$7)*E22)</f>
        <v>67500</v>
      </c>
      <c r="H23" s="9">
        <f t="shared" ref="H23:H62" si="7">IF(D23=0,"",$E$2*(1+$E$5)^(D23+1))</f>
        <v>62424</v>
      </c>
      <c r="I23" s="10">
        <f t="shared" ref="I23:I62" si="8">IF(D23=0,"",(1-$E$7)*$E$4)</f>
        <v>0</v>
      </c>
      <c r="J23" s="5">
        <f t="shared" si="0"/>
        <v>1.0050760000000001</v>
      </c>
      <c r="K23" s="10">
        <f t="shared" si="1"/>
        <v>4170.1500000001397</v>
      </c>
      <c r="L23" s="5">
        <f t="shared" si="2"/>
        <v>4.1701499999999836E-3</v>
      </c>
      <c r="M23" s="5">
        <f t="shared" ref="M23:M61" si="9">IF(D23=0,"",H23/$E$2)</f>
        <v>1.0404</v>
      </c>
      <c r="N23" s="9">
        <f t="shared" ref="N23:N61" si="10">$E$3*( $O$8^D23 - IF($O$8=$O$9,$O$9^2*$O$11*D23*$O$8^D23,$O$10*$O$11*($O$8^D23-$O$9^D23)) + $O$14*$O$13*($O$8^D23-1^D23) )</f>
        <v>1005075.9999999999</v>
      </c>
      <c r="O23" s="5">
        <f t="shared" ref="O23:O61" si="11">N23/$E$3</f>
        <v>1.0050759999999999</v>
      </c>
      <c r="P23" s="5"/>
      <c r="Q23" s="9">
        <f t="shared" ref="Q23:Q61" si="12">$E$3*$O$8^D23</f>
        <v>1067500</v>
      </c>
      <c r="R23" s="9">
        <f t="shared" ref="R23:R61" si="13">$E$3*IF($O$8=$O$9,$O$9^2*$O$11*D23*$O$8^D23,$O$10*$O$11*($O$8^D23-$O$9^D23))</f>
        <v>62424</v>
      </c>
      <c r="S23" s="9">
        <f t="shared" ref="S23:S61" si="14">$E$3*$O$14*$O$13*($O$8^D23-1^D23)</f>
        <v>0</v>
      </c>
    </row>
    <row r="24" spans="2:19" x14ac:dyDescent="0.25">
      <c r="D24" s="3">
        <f t="shared" si="3"/>
        <v>2</v>
      </c>
      <c r="E24" s="9">
        <f t="shared" si="4"/>
        <v>1009246.1500000001</v>
      </c>
      <c r="F24" s="9">
        <f t="shared" si="5"/>
        <v>90456.84</v>
      </c>
      <c r="G24" s="9">
        <f t="shared" si="6"/>
        <v>67842.63</v>
      </c>
      <c r="H24" s="9">
        <f t="shared" si="7"/>
        <v>63672.479999999996</v>
      </c>
      <c r="I24" s="10">
        <f t="shared" si="8"/>
        <v>0</v>
      </c>
      <c r="J24" s="5">
        <f t="shared" si="0"/>
        <v>1.0092461500000001</v>
      </c>
      <c r="K24" s="10">
        <f t="shared" si="1"/>
        <v>3178.185524999979</v>
      </c>
      <c r="L24" s="5">
        <f t="shared" si="2"/>
        <v>3.1781855250001545E-3</v>
      </c>
      <c r="M24" s="5">
        <f t="shared" si="9"/>
        <v>1.0612079999999999</v>
      </c>
      <c r="N24" s="9">
        <f t="shared" si="10"/>
        <v>1009246.1499999997</v>
      </c>
      <c r="O24" s="5">
        <f t="shared" si="11"/>
        <v>1.0092461499999996</v>
      </c>
      <c r="P24" s="5"/>
      <c r="Q24" s="9">
        <f t="shared" si="12"/>
        <v>1139556.2499999998</v>
      </c>
      <c r="R24" s="9">
        <f t="shared" si="13"/>
        <v>130310.10000000012</v>
      </c>
      <c r="S24" s="9">
        <f t="shared" si="14"/>
        <v>0</v>
      </c>
    </row>
    <row r="25" spans="2:19" x14ac:dyDescent="0.25">
      <c r="D25" s="3">
        <f t="shared" si="3"/>
        <v>3</v>
      </c>
      <c r="E25" s="9">
        <f t="shared" si="4"/>
        <v>1012424.3355250001</v>
      </c>
      <c r="F25" s="9">
        <f t="shared" si="5"/>
        <v>90832.153500000015</v>
      </c>
      <c r="G25" s="9">
        <f t="shared" si="6"/>
        <v>68124.115125000011</v>
      </c>
      <c r="H25" s="9">
        <f t="shared" si="7"/>
        <v>64945.929599999996</v>
      </c>
      <c r="I25" s="10">
        <f t="shared" si="8"/>
        <v>0</v>
      </c>
      <c r="J25" s="5">
        <f t="shared" si="0"/>
        <v>1.0124243355250002</v>
      </c>
      <c r="K25" s="10">
        <f t="shared" si="1"/>
        <v>2093.7944559374591</v>
      </c>
      <c r="L25" s="5">
        <f t="shared" si="2"/>
        <v>2.0937944559373811E-3</v>
      </c>
      <c r="M25" s="5">
        <f t="shared" si="9"/>
        <v>1.08243216</v>
      </c>
      <c r="N25" s="9">
        <f t="shared" si="10"/>
        <v>1012424.3355249995</v>
      </c>
      <c r="O25" s="5">
        <f t="shared" si="11"/>
        <v>1.0124243355249996</v>
      </c>
      <c r="P25" s="5"/>
      <c r="Q25" s="9">
        <f t="shared" si="12"/>
        <v>1216476.2968749995</v>
      </c>
      <c r="R25" s="9">
        <f t="shared" si="13"/>
        <v>204051.96135000006</v>
      </c>
      <c r="S25" s="9">
        <f t="shared" si="14"/>
        <v>0</v>
      </c>
    </row>
    <row r="26" spans="2:19" x14ac:dyDescent="0.25">
      <c r="D26" s="3">
        <f t="shared" si="3"/>
        <v>4</v>
      </c>
      <c r="E26" s="9">
        <f t="shared" si="4"/>
        <v>1014518.1299809376</v>
      </c>
      <c r="F26" s="9">
        <f t="shared" si="5"/>
        <v>91118.190197250005</v>
      </c>
      <c r="G26" s="9">
        <f t="shared" si="6"/>
        <v>68338.642647937508</v>
      </c>
      <c r="H26" s="9">
        <f t="shared" si="7"/>
        <v>66244.848192000005</v>
      </c>
      <c r="I26" s="10">
        <f t="shared" si="8"/>
        <v>0</v>
      </c>
      <c r="J26" s="5">
        <f t="shared" si="0"/>
        <v>1.0145181299809376</v>
      </c>
      <c r="K26" s="10">
        <f t="shared" si="1"/>
        <v>910.22861787350848</v>
      </c>
      <c r="L26" s="5">
        <f t="shared" si="2"/>
        <v>9.1022861787348752E-4</v>
      </c>
      <c r="M26" s="5">
        <f t="shared" si="9"/>
        <v>1.1040808032</v>
      </c>
      <c r="N26" s="9">
        <f t="shared" si="10"/>
        <v>1014518.1299809369</v>
      </c>
      <c r="O26" s="5">
        <f t="shared" si="11"/>
        <v>1.0145181299809369</v>
      </c>
      <c r="P26" s="5"/>
      <c r="Q26" s="9">
        <f t="shared" si="12"/>
        <v>1298588.4469140621</v>
      </c>
      <c r="R26" s="9">
        <f t="shared" si="13"/>
        <v>284070.3169331252</v>
      </c>
      <c r="S26" s="9">
        <f t="shared" si="14"/>
        <v>0</v>
      </c>
    </row>
    <row r="27" spans="2:19" x14ac:dyDescent="0.25">
      <c r="D27" s="3">
        <f t="shared" si="3"/>
        <v>5</v>
      </c>
      <c r="E27" s="9">
        <f t="shared" si="4"/>
        <v>1015428.3585988111</v>
      </c>
      <c r="F27" s="9">
        <f t="shared" si="5"/>
        <v>91306.631698284385</v>
      </c>
      <c r="G27" s="9">
        <f t="shared" si="6"/>
        <v>68479.973773713296</v>
      </c>
      <c r="H27" s="9">
        <f t="shared" si="7"/>
        <v>67569.745155840006</v>
      </c>
      <c r="I27" s="10">
        <f t="shared" si="8"/>
        <v>0</v>
      </c>
      <c r="J27" s="5">
        <f t="shared" si="0"/>
        <v>1.0154283585988111</v>
      </c>
      <c r="K27" s="10">
        <f t="shared" si="1"/>
        <v>-379.7258535369765</v>
      </c>
      <c r="L27" s="5">
        <f t="shared" si="2"/>
        <v>-3.7972585353696076E-4</v>
      </c>
      <c r="M27" s="5">
        <f t="shared" si="9"/>
        <v>1.1261624192640001</v>
      </c>
      <c r="N27" s="9">
        <f t="shared" si="10"/>
        <v>1015428.3585988099</v>
      </c>
      <c r="O27" s="5">
        <f t="shared" si="11"/>
        <v>1.01542835859881</v>
      </c>
      <c r="P27" s="5"/>
      <c r="Q27" s="9">
        <f t="shared" si="12"/>
        <v>1386243.1670807612</v>
      </c>
      <c r="R27" s="9">
        <f t="shared" si="13"/>
        <v>370814.80848195107</v>
      </c>
      <c r="S27" s="9">
        <f t="shared" si="14"/>
        <v>0</v>
      </c>
    </row>
    <row r="28" spans="2:19" x14ac:dyDescent="0.25">
      <c r="D28" s="3">
        <f t="shared" si="3"/>
        <v>6</v>
      </c>
      <c r="E28" s="9">
        <f t="shared" si="4"/>
        <v>1015048.6327452741</v>
      </c>
      <c r="F28" s="9">
        <f t="shared" si="5"/>
        <v>91388.552273893001</v>
      </c>
      <c r="G28" s="9">
        <f t="shared" si="6"/>
        <v>68541.414205419758</v>
      </c>
      <c r="H28" s="9">
        <f t="shared" si="7"/>
        <v>68921.140058956793</v>
      </c>
      <c r="I28" s="10">
        <f t="shared" si="8"/>
        <v>0</v>
      </c>
      <c r="J28" s="5">
        <f t="shared" si="0"/>
        <v>1.0150486327452741</v>
      </c>
      <c r="K28" s="10">
        <f t="shared" si="1"/>
        <v>-1783.7801498298068</v>
      </c>
      <c r="L28" s="5">
        <f t="shared" si="2"/>
        <v>-1.7837801498297168E-3</v>
      </c>
      <c r="M28" s="5">
        <f t="shared" si="9"/>
        <v>1.1486856676492798</v>
      </c>
      <c r="N28" s="9">
        <f t="shared" si="10"/>
        <v>1015048.6327452728</v>
      </c>
      <c r="O28" s="5">
        <f t="shared" si="11"/>
        <v>1.0150486327452728</v>
      </c>
      <c r="P28" s="5"/>
      <c r="Q28" s="9">
        <f t="shared" si="12"/>
        <v>1479814.5808587123</v>
      </c>
      <c r="R28" s="9">
        <f t="shared" si="13"/>
        <v>464765.94811343955</v>
      </c>
      <c r="S28" s="9">
        <f t="shared" si="14"/>
        <v>0</v>
      </c>
    </row>
    <row r="29" spans="2:19" x14ac:dyDescent="0.25">
      <c r="D29" s="3">
        <f t="shared" si="3"/>
        <v>7</v>
      </c>
      <c r="E29" s="9">
        <f t="shared" si="4"/>
        <v>1013264.8525954443</v>
      </c>
      <c r="F29" s="9">
        <f t="shared" si="5"/>
        <v>91354.376947074663</v>
      </c>
      <c r="G29" s="9">
        <f t="shared" si="6"/>
        <v>68515.782710306012</v>
      </c>
      <c r="H29" s="9">
        <f t="shared" si="7"/>
        <v>70299.562860135935</v>
      </c>
      <c r="I29" s="10">
        <f t="shared" si="8"/>
        <v>0</v>
      </c>
      <c r="J29" s="5">
        <f t="shared" si="0"/>
        <v>1.0132648525954444</v>
      </c>
      <c r="K29" s="10">
        <f t="shared" si="1"/>
        <v>-3310.1765671459725</v>
      </c>
      <c r="L29" s="5">
        <f t="shared" si="2"/>
        <v>-3.3101765671461614E-3</v>
      </c>
      <c r="M29" s="5">
        <f t="shared" si="9"/>
        <v>1.1716593810022655</v>
      </c>
      <c r="N29" s="9">
        <f t="shared" si="10"/>
        <v>1013264.8525954424</v>
      </c>
      <c r="O29" s="5">
        <f t="shared" si="11"/>
        <v>1.0132648525954424</v>
      </c>
      <c r="P29" s="5"/>
      <c r="Q29" s="9">
        <f t="shared" si="12"/>
        <v>1579702.0650666752</v>
      </c>
      <c r="R29" s="9">
        <f t="shared" si="13"/>
        <v>566437.21247123263</v>
      </c>
      <c r="S29" s="9">
        <f t="shared" si="14"/>
        <v>0</v>
      </c>
    </row>
    <row r="30" spans="2:19" x14ac:dyDescent="0.25">
      <c r="D30" s="3">
        <f t="shared" si="3"/>
        <v>8</v>
      </c>
      <c r="E30" s="9">
        <f t="shared" si="4"/>
        <v>1009954.6760282983</v>
      </c>
      <c r="F30" s="9">
        <f t="shared" si="5"/>
        <v>91193.836733589982</v>
      </c>
      <c r="G30" s="9">
        <f t="shared" si="6"/>
        <v>68395.377550192497</v>
      </c>
      <c r="H30" s="9">
        <f t="shared" si="7"/>
        <v>71705.554117338645</v>
      </c>
      <c r="I30" s="10">
        <f t="shared" si="8"/>
        <v>0</v>
      </c>
      <c r="J30" s="5">
        <f t="shared" si="0"/>
        <v>1.0099546760282982</v>
      </c>
      <c r="K30" s="10">
        <f t="shared" si="1"/>
        <v>-4967.7245677752653</v>
      </c>
      <c r="L30" s="5">
        <f t="shared" si="2"/>
        <v>-4.9677245677752779E-3</v>
      </c>
      <c r="M30" s="5">
        <f t="shared" si="9"/>
        <v>1.1950925686223108</v>
      </c>
      <c r="N30" s="9">
        <f t="shared" si="10"/>
        <v>1009954.676028296</v>
      </c>
      <c r="O30" s="5">
        <f t="shared" si="11"/>
        <v>1.009954676028296</v>
      </c>
      <c r="P30" s="5"/>
      <c r="Q30" s="9">
        <f t="shared" si="12"/>
        <v>1686331.9544586756</v>
      </c>
      <c r="R30" s="9">
        <f t="shared" si="13"/>
        <v>676377.27843037958</v>
      </c>
      <c r="S30" s="9">
        <f t="shared" si="14"/>
        <v>0</v>
      </c>
    </row>
    <row r="31" spans="2:19" x14ac:dyDescent="0.25">
      <c r="D31" s="3">
        <f t="shared" si="3"/>
        <v>9</v>
      </c>
      <c r="E31" s="9">
        <f t="shared" si="4"/>
        <v>1004986.9514605231</v>
      </c>
      <c r="F31" s="9">
        <f t="shared" si="5"/>
        <v>90895.920842546853</v>
      </c>
      <c r="G31" s="9">
        <f t="shared" si="6"/>
        <v>68171.94063191014</v>
      </c>
      <c r="H31" s="9">
        <f t="shared" si="7"/>
        <v>73139.66519968542</v>
      </c>
      <c r="I31" s="10">
        <f t="shared" si="8"/>
        <v>0</v>
      </c>
      <c r="J31" s="5">
        <f t="shared" si="0"/>
        <v>1.004986951460523</v>
      </c>
      <c r="K31" s="10">
        <f t="shared" si="1"/>
        <v>-6765.8392800937872</v>
      </c>
      <c r="L31" s="5">
        <f t="shared" si="2"/>
        <v>-6.7658392800936662E-3</v>
      </c>
      <c r="M31" s="5">
        <f t="shared" si="9"/>
        <v>1.2189944199947571</v>
      </c>
      <c r="N31" s="9">
        <f t="shared" si="10"/>
        <v>1004986.9514605205</v>
      </c>
      <c r="O31" s="5">
        <f t="shared" si="11"/>
        <v>1.0049869514605205</v>
      </c>
      <c r="P31" s="5"/>
      <c r="Q31" s="9">
        <f t="shared" si="12"/>
        <v>1800159.361384636</v>
      </c>
      <c r="R31" s="9">
        <f t="shared" si="13"/>
        <v>795172.40992411552</v>
      </c>
      <c r="S31" s="9">
        <f t="shared" si="14"/>
        <v>0</v>
      </c>
    </row>
    <row r="32" spans="2:19" x14ac:dyDescent="0.25">
      <c r="D32" s="3">
        <f t="shared" si="3"/>
        <v>10</v>
      </c>
      <c r="E32" s="9">
        <f t="shared" si="4"/>
        <v>998221.11218042928</v>
      </c>
      <c r="F32" s="9">
        <f t="shared" si="5"/>
        <v>90448.825631447078</v>
      </c>
      <c r="G32" s="9">
        <f t="shared" si="6"/>
        <v>67836.619223585309</v>
      </c>
      <c r="H32" s="9">
        <f t="shared" si="7"/>
        <v>74602.458503679125</v>
      </c>
      <c r="I32" s="10">
        <f t="shared" si="8"/>
        <v>0</v>
      </c>
      <c r="J32" s="5">
        <f t="shared" si="0"/>
        <v>0.9982211121804293</v>
      </c>
      <c r="K32" s="10">
        <f t="shared" si="1"/>
        <v>-8714.5826015735511</v>
      </c>
      <c r="L32" s="5">
        <f t="shared" si="2"/>
        <v>-8.7145826015735395E-3</v>
      </c>
      <c r="M32" s="5">
        <f t="shared" si="9"/>
        <v>1.243374308394652</v>
      </c>
      <c r="N32" s="9">
        <f t="shared" si="10"/>
        <v>998221.11218042637</v>
      </c>
      <c r="O32" s="5">
        <f t="shared" si="11"/>
        <v>0.99822111218042642</v>
      </c>
      <c r="P32" s="5"/>
      <c r="Q32" s="9">
        <f t="shared" si="12"/>
        <v>1921670.1182780988</v>
      </c>
      <c r="R32" s="9">
        <f t="shared" si="13"/>
        <v>923449.00609767239</v>
      </c>
      <c r="S32" s="9">
        <f t="shared" si="14"/>
        <v>0</v>
      </c>
    </row>
    <row r="33" spans="4:19" x14ac:dyDescent="0.25">
      <c r="D33" s="3">
        <f t="shared" si="3"/>
        <v>11</v>
      </c>
      <c r="E33" s="9">
        <f t="shared" si="4"/>
        <v>989506.52957885573</v>
      </c>
      <c r="F33" s="9">
        <f t="shared" si="5"/>
        <v>89839.900096238634</v>
      </c>
      <c r="G33" s="9">
        <f t="shared" si="6"/>
        <v>67379.925072178987</v>
      </c>
      <c r="H33" s="9">
        <f t="shared" si="7"/>
        <v>76094.507673752712</v>
      </c>
      <c r="I33" s="10">
        <f t="shared" si="8"/>
        <v>0</v>
      </c>
      <c r="J33" s="5">
        <f t="shared" si="0"/>
        <v>0.98950652957885576</v>
      </c>
      <c r="K33" s="10">
        <f t="shared" si="1"/>
        <v>-10824.707080654916</v>
      </c>
      <c r="L33" s="5">
        <f t="shared" si="2"/>
        <v>-1.0824707080654972E-2</v>
      </c>
      <c r="M33" s="5">
        <f t="shared" si="9"/>
        <v>1.2682417945625453</v>
      </c>
      <c r="N33" s="9">
        <f t="shared" si="10"/>
        <v>989506.52957885212</v>
      </c>
      <c r="O33" s="5">
        <f t="shared" si="11"/>
        <v>0.9895065295788521</v>
      </c>
      <c r="P33" s="5"/>
      <c r="Q33" s="9">
        <f t="shared" si="12"/>
        <v>2051382.8512618702</v>
      </c>
      <c r="R33" s="9">
        <f t="shared" si="13"/>
        <v>1061876.321683018</v>
      </c>
      <c r="S33" s="9">
        <f t="shared" si="14"/>
        <v>0</v>
      </c>
    </row>
    <row r="34" spans="4:19" x14ac:dyDescent="0.25">
      <c r="D34" s="3">
        <f t="shared" si="3"/>
        <v>12</v>
      </c>
      <c r="E34" s="9">
        <f t="shared" si="4"/>
        <v>978681.82249820081</v>
      </c>
      <c r="F34" s="9">
        <f t="shared" si="5"/>
        <v>89055.587662097008</v>
      </c>
      <c r="G34" s="9">
        <f t="shared" si="6"/>
        <v>66791.690746572771</v>
      </c>
      <c r="H34" s="9">
        <f t="shared" si="7"/>
        <v>77616.39782722776</v>
      </c>
      <c r="I34" s="10">
        <f t="shared" si="8"/>
        <v>0</v>
      </c>
      <c r="J34" s="5">
        <f t="shared" si="0"/>
        <v>0.97868182249820079</v>
      </c>
      <c r="K34" s="10">
        <f t="shared" si="1"/>
        <v>-13107.702765143709</v>
      </c>
      <c r="L34" s="5">
        <f t="shared" si="2"/>
        <v>-1.3107702765143725E-2</v>
      </c>
      <c r="M34" s="5">
        <f t="shared" si="9"/>
        <v>1.2936066304537961</v>
      </c>
      <c r="N34" s="9">
        <f t="shared" si="10"/>
        <v>978681.82249819697</v>
      </c>
      <c r="O34" s="5">
        <f t="shared" si="11"/>
        <v>0.97868182249819702</v>
      </c>
      <c r="P34" s="5"/>
      <c r="Q34" s="9">
        <f t="shared" si="12"/>
        <v>2189851.1937220464</v>
      </c>
      <c r="R34" s="9">
        <f t="shared" si="13"/>
        <v>1211169.3712238495</v>
      </c>
      <c r="S34" s="9">
        <f t="shared" si="14"/>
        <v>0</v>
      </c>
    </row>
    <row r="35" spans="4:19" x14ac:dyDescent="0.25">
      <c r="D35" s="3">
        <f t="shared" si="3"/>
        <v>13</v>
      </c>
      <c r="E35" s="9">
        <f t="shared" si="4"/>
        <v>965574.1197330571</v>
      </c>
      <c r="F35" s="9">
        <f t="shared" si="5"/>
        <v>88081.364024838069</v>
      </c>
      <c r="G35" s="9">
        <f t="shared" si="6"/>
        <v>66061.023018628563</v>
      </c>
      <c r="H35" s="9">
        <f t="shared" si="7"/>
        <v>79168.72578377233</v>
      </c>
      <c r="I35" s="10">
        <f t="shared" si="8"/>
        <v>0</v>
      </c>
      <c r="J35" s="5">
        <f t="shared" si="0"/>
        <v>0.96557411973305707</v>
      </c>
      <c r="K35" s="10">
        <f t="shared" si="1"/>
        <v>-15575.847217466333</v>
      </c>
      <c r="L35" s="5">
        <f t="shared" si="2"/>
        <v>-1.5575847217466299E-2</v>
      </c>
      <c r="M35" s="5">
        <f t="shared" si="9"/>
        <v>1.3194787630628722</v>
      </c>
      <c r="N35" s="9">
        <f t="shared" si="10"/>
        <v>965574.11973305279</v>
      </c>
      <c r="O35" s="5">
        <f t="shared" si="11"/>
        <v>0.96557411973305285</v>
      </c>
      <c r="P35" s="5"/>
      <c r="Q35" s="9">
        <f t="shared" si="12"/>
        <v>2337666.1492982842</v>
      </c>
      <c r="R35" s="9">
        <f t="shared" si="13"/>
        <v>1372092.0295652316</v>
      </c>
      <c r="S35" s="9">
        <f t="shared" si="14"/>
        <v>0</v>
      </c>
    </row>
    <row r="36" spans="4:19" x14ac:dyDescent="0.25">
      <c r="D36" s="3">
        <f t="shared" si="3"/>
        <v>14</v>
      </c>
      <c r="E36" s="9">
        <f t="shared" si="4"/>
        <v>949998.27251559077</v>
      </c>
      <c r="F36" s="9">
        <f t="shared" si="5"/>
        <v>86901.67077597513</v>
      </c>
      <c r="G36" s="9">
        <f t="shared" si="6"/>
        <v>65176.253081981362</v>
      </c>
      <c r="H36" s="9">
        <f t="shared" si="7"/>
        <v>80752.10029944776</v>
      </c>
      <c r="I36" s="10">
        <f t="shared" si="8"/>
        <v>0</v>
      </c>
      <c r="J36" s="5">
        <f t="shared" si="0"/>
        <v>0.94999827251559077</v>
      </c>
      <c r="K36" s="10">
        <f t="shared" si="1"/>
        <v>-18242.258910634322</v>
      </c>
      <c r="L36" s="5">
        <f t="shared" si="2"/>
        <v>-1.8242258910634357E-2</v>
      </c>
      <c r="M36" s="5">
        <f t="shared" si="9"/>
        <v>1.3458683383241294</v>
      </c>
      <c r="N36" s="9">
        <f t="shared" si="10"/>
        <v>949998.272515586</v>
      </c>
      <c r="O36" s="5">
        <f t="shared" si="11"/>
        <v>0.949998272515586</v>
      </c>
      <c r="P36" s="5"/>
      <c r="Q36" s="9">
        <f t="shared" si="12"/>
        <v>2495458.6143759182</v>
      </c>
      <c r="R36" s="9">
        <f t="shared" si="13"/>
        <v>1545460.3418603323</v>
      </c>
      <c r="S36" s="9">
        <f t="shared" si="14"/>
        <v>0</v>
      </c>
    </row>
    <row r="37" spans="4:19" x14ac:dyDescent="0.25">
      <c r="D37" s="3">
        <f t="shared" si="3"/>
        <v>15</v>
      </c>
      <c r="E37" s="9">
        <f t="shared" si="4"/>
        <v>931756.01360495645</v>
      </c>
      <c r="F37" s="9">
        <f t="shared" si="5"/>
        <v>85499.844526403162</v>
      </c>
      <c r="G37" s="9">
        <f t="shared" si="6"/>
        <v>64124.883394802382</v>
      </c>
      <c r="H37" s="9">
        <f t="shared" si="7"/>
        <v>82367.142305436719</v>
      </c>
      <c r="I37" s="10">
        <f t="shared" si="8"/>
        <v>0</v>
      </c>
      <c r="J37" s="5">
        <f t="shared" si="0"/>
        <v>0.93175601360495641</v>
      </c>
      <c r="K37" s="10">
        <f t="shared" si="1"/>
        <v>-21120.954233210883</v>
      </c>
      <c r="L37" s="5">
        <f t="shared" si="2"/>
        <v>-2.1120954233210809E-2</v>
      </c>
      <c r="M37" s="5">
        <f t="shared" si="9"/>
        <v>1.372785705090612</v>
      </c>
      <c r="N37" s="9">
        <f t="shared" si="10"/>
        <v>931756.01360495097</v>
      </c>
      <c r="O37" s="5">
        <f t="shared" si="11"/>
        <v>0.93175601360495097</v>
      </c>
      <c r="P37" s="5"/>
      <c r="Q37" s="9">
        <f t="shared" si="12"/>
        <v>2663902.0708462922</v>
      </c>
      <c r="R37" s="9">
        <f t="shared" si="13"/>
        <v>1732146.0572413411</v>
      </c>
      <c r="S37" s="9">
        <f t="shared" si="14"/>
        <v>0</v>
      </c>
    </row>
    <row r="38" spans="4:19" x14ac:dyDescent="0.25">
      <c r="D38" s="3">
        <f t="shared" si="3"/>
        <v>16</v>
      </c>
      <c r="E38" s="9">
        <f t="shared" si="4"/>
        <v>910635.05937174556</v>
      </c>
      <c r="F38" s="9">
        <f t="shared" si="5"/>
        <v>83858.041224446075</v>
      </c>
      <c r="G38" s="9">
        <f t="shared" si="6"/>
        <v>62893.530918334567</v>
      </c>
      <c r="H38" s="9">
        <f t="shared" si="7"/>
        <v>84014.485151545465</v>
      </c>
      <c r="I38" s="10">
        <f t="shared" si="8"/>
        <v>0</v>
      </c>
      <c r="J38" s="5">
        <f t="shared" si="0"/>
        <v>0.9106350593717456</v>
      </c>
      <c r="K38" s="10">
        <f t="shared" si="1"/>
        <v>-24226.908346983488</v>
      </c>
      <c r="L38" s="5">
        <f t="shared" si="2"/>
        <v>-2.4226908346983489E-2</v>
      </c>
      <c r="M38" s="5">
        <f t="shared" si="9"/>
        <v>1.4002414191924244</v>
      </c>
      <c r="N38" s="9">
        <f t="shared" si="10"/>
        <v>910635.05937173963</v>
      </c>
      <c r="O38" s="5">
        <f t="shared" si="11"/>
        <v>0.91063505937173961</v>
      </c>
      <c r="P38" s="5"/>
      <c r="Q38" s="9">
        <f t="shared" si="12"/>
        <v>2843715.4606284173</v>
      </c>
      <c r="R38" s="9">
        <f t="shared" si="13"/>
        <v>1933080.4012566775</v>
      </c>
      <c r="S38" s="9">
        <f t="shared" si="14"/>
        <v>0</v>
      </c>
    </row>
    <row r="39" spans="4:19" x14ac:dyDescent="0.25">
      <c r="D39" s="3">
        <f t="shared" si="3"/>
        <v>17</v>
      </c>
      <c r="E39" s="9">
        <f t="shared" si="4"/>
        <v>886408.15102476208</v>
      </c>
      <c r="F39" s="9">
        <f t="shared" si="5"/>
        <v>81957.155343457096</v>
      </c>
      <c r="G39" s="9">
        <f t="shared" si="6"/>
        <v>61467.866507592829</v>
      </c>
      <c r="H39" s="9">
        <f t="shared" si="7"/>
        <v>85694.774854576361</v>
      </c>
      <c r="I39" s="10">
        <f t="shared" si="8"/>
        <v>0</v>
      </c>
      <c r="J39" s="5">
        <f t="shared" si="0"/>
        <v>0.88640815102476211</v>
      </c>
      <c r="K39" s="10">
        <f t="shared" si="1"/>
        <v>-27576.120157496422</v>
      </c>
      <c r="L39" s="5">
        <f t="shared" si="2"/>
        <v>-2.7576120157496442E-2</v>
      </c>
      <c r="M39" s="5">
        <f t="shared" si="9"/>
        <v>1.4282462475762727</v>
      </c>
      <c r="N39" s="9">
        <f t="shared" si="10"/>
        <v>886408.15102475567</v>
      </c>
      <c r="O39" s="5">
        <f t="shared" si="11"/>
        <v>0.88640815102475567</v>
      </c>
      <c r="P39" s="5"/>
      <c r="Q39" s="9">
        <f t="shared" si="12"/>
        <v>3035666.2542208349</v>
      </c>
      <c r="R39" s="9">
        <f t="shared" si="13"/>
        <v>2149258.1031960794</v>
      </c>
      <c r="S39" s="9">
        <f t="shared" si="14"/>
        <v>0</v>
      </c>
    </row>
    <row r="40" spans="4:19" x14ac:dyDescent="0.25">
      <c r="D40" s="3">
        <f t="shared" si="3"/>
        <v>18</v>
      </c>
      <c r="E40" s="9">
        <f t="shared" si="4"/>
        <v>858832.03086726565</v>
      </c>
      <c r="F40" s="9">
        <f t="shared" si="5"/>
        <v>79776.733592228586</v>
      </c>
      <c r="G40" s="9">
        <f t="shared" si="6"/>
        <v>59832.550194171446</v>
      </c>
      <c r="H40" s="9">
        <f t="shared" si="7"/>
        <v>87408.670351667883</v>
      </c>
      <c r="I40" s="10">
        <f t="shared" si="8"/>
        <v>0</v>
      </c>
      <c r="J40" s="5">
        <f t="shared" si="0"/>
        <v>0.85883203086726567</v>
      </c>
      <c r="K40" s="10">
        <f t="shared" si="1"/>
        <v>-31185.681675160769</v>
      </c>
      <c r="L40" s="5">
        <f t="shared" si="2"/>
        <v>-3.1185681675160781E-2</v>
      </c>
      <c r="M40" s="5">
        <f t="shared" si="9"/>
        <v>1.4568111725277981</v>
      </c>
      <c r="N40" s="9">
        <f t="shared" si="10"/>
        <v>858832.03086725855</v>
      </c>
      <c r="O40" s="5">
        <f t="shared" si="11"/>
        <v>0.85883203086725857</v>
      </c>
      <c r="P40" s="5"/>
      <c r="Q40" s="9">
        <f t="shared" si="12"/>
        <v>3240573.7263807412</v>
      </c>
      <c r="R40" s="9">
        <f t="shared" si="13"/>
        <v>2381741.6955134827</v>
      </c>
      <c r="S40" s="9">
        <f t="shared" si="14"/>
        <v>0</v>
      </c>
    </row>
    <row r="41" spans="4:19" x14ac:dyDescent="0.25">
      <c r="D41" s="3">
        <f t="shared" si="3"/>
        <v>19</v>
      </c>
      <c r="E41" s="9">
        <f t="shared" si="4"/>
        <v>827646.34919210488</v>
      </c>
      <c r="F41" s="9">
        <f t="shared" si="5"/>
        <v>77294.8827780539</v>
      </c>
      <c r="G41" s="9">
        <f t="shared" si="6"/>
        <v>57971.162083540432</v>
      </c>
      <c r="H41" s="9">
        <f t="shared" si="7"/>
        <v>89156.84375870126</v>
      </c>
      <c r="I41" s="10">
        <f t="shared" si="8"/>
        <v>0</v>
      </c>
      <c r="J41" s="5">
        <f t="shared" si="0"/>
        <v>0.82764634919210489</v>
      </c>
      <c r="K41" s="10">
        <f t="shared" si="1"/>
        <v>-35073.852063408121</v>
      </c>
      <c r="L41" s="5">
        <f t="shared" si="2"/>
        <v>-3.5073852063408073E-2</v>
      </c>
      <c r="M41" s="5">
        <f t="shared" si="9"/>
        <v>1.4859473959783542</v>
      </c>
      <c r="N41" s="9">
        <f t="shared" si="10"/>
        <v>827646.34919209755</v>
      </c>
      <c r="O41" s="5">
        <f t="shared" si="11"/>
        <v>0.82764634919209756</v>
      </c>
      <c r="P41" s="5"/>
      <c r="Q41" s="9">
        <f t="shared" si="12"/>
        <v>3459312.4529114407</v>
      </c>
      <c r="R41" s="9">
        <f t="shared" si="13"/>
        <v>2631666.103719343</v>
      </c>
      <c r="S41" s="9">
        <f t="shared" si="14"/>
        <v>0</v>
      </c>
    </row>
    <row r="42" spans="4:19" x14ac:dyDescent="0.25">
      <c r="D42" s="3">
        <f t="shared" si="3"/>
        <v>20</v>
      </c>
      <c r="E42" s="9">
        <f t="shared" si="4"/>
        <v>792572.49712869676</v>
      </c>
      <c r="F42" s="9">
        <f t="shared" si="5"/>
        <v>74488.171427289431</v>
      </c>
      <c r="G42" s="9">
        <f t="shared" si="6"/>
        <v>55866.128570467081</v>
      </c>
      <c r="H42" s="9">
        <f t="shared" si="7"/>
        <v>90939.980633875268</v>
      </c>
      <c r="I42" s="10">
        <f t="shared" si="8"/>
        <v>0</v>
      </c>
      <c r="J42" s="5">
        <f t="shared" si="0"/>
        <v>0.79257249712869682</v>
      </c>
      <c r="K42" s="10">
        <f t="shared" si="1"/>
        <v>-39260.136690365616</v>
      </c>
      <c r="L42" s="5">
        <f t="shared" si="2"/>
        <v>-3.9260136690365655E-2</v>
      </c>
      <c r="M42" s="5">
        <f t="shared" si="9"/>
        <v>1.5156663438979212</v>
      </c>
      <c r="N42" s="9">
        <f t="shared" si="10"/>
        <v>792572.49712868873</v>
      </c>
      <c r="O42" s="5">
        <f t="shared" si="11"/>
        <v>0.79257249712868871</v>
      </c>
      <c r="P42" s="5"/>
      <c r="Q42" s="9">
        <f t="shared" si="12"/>
        <v>3692816.0434829625</v>
      </c>
      <c r="R42" s="9">
        <f t="shared" si="13"/>
        <v>2900243.5463542738</v>
      </c>
      <c r="S42" s="9">
        <f t="shared" si="14"/>
        <v>0</v>
      </c>
    </row>
    <row r="43" spans="4:19" x14ac:dyDescent="0.25">
      <c r="D43" s="3">
        <f t="shared" si="3"/>
        <v>21</v>
      </c>
      <c r="E43" s="9">
        <f t="shared" si="4"/>
        <v>753312.36043833115</v>
      </c>
      <c r="F43" s="9">
        <f t="shared" si="5"/>
        <v>71331.524741582703</v>
      </c>
      <c r="G43" s="9">
        <f t="shared" si="6"/>
        <v>53498.643556187038</v>
      </c>
      <c r="H43" s="9">
        <f t="shared" si="7"/>
        <v>92758.780246552778</v>
      </c>
      <c r="I43" s="10">
        <f t="shared" si="8"/>
        <v>0</v>
      </c>
      <c r="J43" s="5">
        <f t="shared" si="0"/>
        <v>0.75331236043833116</v>
      </c>
      <c r="K43" s="10">
        <f t="shared" si="1"/>
        <v>-43765.37152189645</v>
      </c>
      <c r="L43" s="5">
        <f t="shared" si="2"/>
        <v>-4.3765371521896412E-2</v>
      </c>
      <c r="M43" s="5">
        <f t="shared" si="9"/>
        <v>1.5459796707758797</v>
      </c>
      <c r="N43" s="9">
        <f t="shared" si="10"/>
        <v>753312.3604383216</v>
      </c>
      <c r="O43" s="5">
        <f t="shared" si="11"/>
        <v>0.75331236043832162</v>
      </c>
      <c r="P43" s="5"/>
      <c r="Q43" s="9">
        <f t="shared" si="12"/>
        <v>3942081.1264180625</v>
      </c>
      <c r="R43" s="9">
        <f t="shared" si="13"/>
        <v>3188768.7659797412</v>
      </c>
      <c r="S43" s="9">
        <f t="shared" si="14"/>
        <v>0</v>
      </c>
    </row>
    <row r="44" spans="4:19" x14ac:dyDescent="0.25">
      <c r="D44" s="3">
        <f t="shared" si="3"/>
        <v>22</v>
      </c>
      <c r="E44" s="9">
        <f t="shared" ref="E44:E62" si="15">IF(D44=0,$E$3,(1+$E$6)*E43+$E$4-$E$7*($E$6*E43+$E$4)-$E$2*(1+$E$5)^(D44+1))</f>
        <v>709546.9889164347</v>
      </c>
      <c r="F44" s="9">
        <f t="shared" si="5"/>
        <v>67798.112439449804</v>
      </c>
      <c r="G44" s="9">
        <f t="shared" si="6"/>
        <v>50848.584329587356</v>
      </c>
      <c r="H44" s="9">
        <f t="shared" si="7"/>
        <v>94613.955851483828</v>
      </c>
      <c r="I44" s="10">
        <f t="shared" si="8"/>
        <v>0</v>
      </c>
      <c r="J44" s="5">
        <f t="shared" si="0"/>
        <v>0.70954698891643475</v>
      </c>
      <c r="K44" s="10">
        <f t="shared" si="1"/>
        <v>-48611.813216654002</v>
      </c>
      <c r="L44" s="5">
        <f t="shared" si="2"/>
        <v>-4.8611813216654087E-2</v>
      </c>
      <c r="M44" s="5">
        <f t="shared" si="9"/>
        <v>1.576899264191397</v>
      </c>
      <c r="N44" s="9">
        <f t="shared" si="10"/>
        <v>709546.98891642434</v>
      </c>
      <c r="O44" s="5">
        <f t="shared" si="11"/>
        <v>0.70954698891642431</v>
      </c>
      <c r="P44" s="5"/>
      <c r="Q44" s="9">
        <f t="shared" si="12"/>
        <v>4208171.6024512816</v>
      </c>
      <c r="R44" s="9">
        <f t="shared" si="13"/>
        <v>3498624.6135348575</v>
      </c>
      <c r="S44" s="9">
        <f t="shared" si="14"/>
        <v>0</v>
      </c>
    </row>
    <row r="45" spans="4:19" x14ac:dyDescent="0.25">
      <c r="D45" s="3">
        <f t="shared" si="3"/>
        <v>23</v>
      </c>
      <c r="E45" s="9">
        <f t="shared" si="15"/>
        <v>660935.1756997807</v>
      </c>
      <c r="F45" s="9">
        <f t="shared" si="5"/>
        <v>63859.229002479122</v>
      </c>
      <c r="G45" s="9">
        <f t="shared" si="6"/>
        <v>47894.421751859343</v>
      </c>
      <c r="H45" s="9">
        <f t="shared" si="7"/>
        <v>96506.234968513498</v>
      </c>
      <c r="I45" s="10">
        <f t="shared" si="8"/>
        <v>0</v>
      </c>
      <c r="J45" s="5">
        <f t="shared" si="0"/>
        <v>0.66093517569978066</v>
      </c>
      <c r="K45" s="10">
        <f t="shared" si="1"/>
        <v>-53823.235308148665</v>
      </c>
      <c r="L45" s="5">
        <f t="shared" si="2"/>
        <v>-5.3823235308148587E-2</v>
      </c>
      <c r="M45" s="5">
        <f t="shared" si="9"/>
        <v>1.608437249475225</v>
      </c>
      <c r="N45" s="9">
        <f t="shared" si="10"/>
        <v>660935.17569976929</v>
      </c>
      <c r="O45" s="5">
        <f t="shared" si="11"/>
        <v>0.66093517569976934</v>
      </c>
      <c r="P45" s="5"/>
      <c r="Q45" s="9">
        <f t="shared" si="12"/>
        <v>4492223.1856167419</v>
      </c>
      <c r="R45" s="9">
        <f t="shared" si="13"/>
        <v>3831288.0099169724</v>
      </c>
      <c r="S45" s="9">
        <f t="shared" si="14"/>
        <v>0</v>
      </c>
    </row>
    <row r="46" spans="4:19" x14ac:dyDescent="0.25">
      <c r="D46" s="3">
        <f t="shared" si="3"/>
        <v>24</v>
      </c>
      <c r="E46" s="9">
        <f t="shared" si="15"/>
        <v>607111.94039163203</v>
      </c>
      <c r="F46" s="9">
        <f t="shared" si="5"/>
        <v>59484.16581298026</v>
      </c>
      <c r="G46" s="9">
        <f t="shared" si="6"/>
        <v>44613.1243597352</v>
      </c>
      <c r="H46" s="9">
        <f t="shared" si="7"/>
        <v>98436.359667883778</v>
      </c>
      <c r="I46" s="10">
        <f t="shared" si="8"/>
        <v>0</v>
      </c>
      <c r="J46" s="5">
        <f t="shared" si="0"/>
        <v>0.60711194039163208</v>
      </c>
      <c r="K46" s="10">
        <f t="shared" si="1"/>
        <v>-59425.0308848063</v>
      </c>
      <c r="L46" s="5">
        <f t="shared" si="2"/>
        <v>-5.9425030884806329E-2</v>
      </c>
      <c r="M46" s="5">
        <f t="shared" si="9"/>
        <v>1.6406059944647295</v>
      </c>
      <c r="N46" s="9">
        <f t="shared" si="10"/>
        <v>607111.94039161946</v>
      </c>
      <c r="O46" s="5">
        <f t="shared" si="11"/>
        <v>0.60711194039161942</v>
      </c>
      <c r="P46" s="5"/>
      <c r="Q46" s="9">
        <f t="shared" si="12"/>
        <v>4795448.2506458713</v>
      </c>
      <c r="R46" s="9">
        <f t="shared" si="13"/>
        <v>4188336.3102542521</v>
      </c>
      <c r="S46" s="9">
        <f t="shared" si="14"/>
        <v>0</v>
      </c>
    </row>
    <row r="47" spans="4:19" x14ac:dyDescent="0.25">
      <c r="D47" s="3">
        <f t="shared" si="3"/>
        <v>25</v>
      </c>
      <c r="E47" s="9">
        <f t="shared" si="15"/>
        <v>547686.90950682573</v>
      </c>
      <c r="F47" s="9">
        <f t="shared" si="5"/>
        <v>54640.074635246878</v>
      </c>
      <c r="G47" s="9">
        <f t="shared" si="6"/>
        <v>40980.055976435164</v>
      </c>
      <c r="H47" s="9">
        <f t="shared" si="7"/>
        <v>100405.08686124146</v>
      </c>
      <c r="I47" s="10">
        <f t="shared" si="8"/>
        <v>0</v>
      </c>
      <c r="J47" s="5">
        <f t="shared" si="0"/>
        <v>0.54768690950682575</v>
      </c>
      <c r="K47" s="10">
        <f t="shared" si="1"/>
        <v>-65444.322206755576</v>
      </c>
      <c r="L47" s="5">
        <f t="shared" si="2"/>
        <v>-6.5444322206755612E-2</v>
      </c>
      <c r="M47" s="5">
        <f t="shared" si="9"/>
        <v>1.6734181143540243</v>
      </c>
      <c r="N47" s="9">
        <f t="shared" si="10"/>
        <v>547686.90950681269</v>
      </c>
      <c r="O47" s="5">
        <f t="shared" si="11"/>
        <v>0.54768690950681265</v>
      </c>
      <c r="P47" s="5"/>
      <c r="Q47" s="9">
        <f t="shared" si="12"/>
        <v>5119141.0075644674</v>
      </c>
      <c r="R47" s="9">
        <f t="shared" si="13"/>
        <v>4571454.0980576547</v>
      </c>
      <c r="S47" s="9">
        <f t="shared" si="14"/>
        <v>0</v>
      </c>
    </row>
    <row r="48" spans="4:19" x14ac:dyDescent="0.25">
      <c r="D48" s="3">
        <f t="shared" si="3"/>
        <v>26</v>
      </c>
      <c r="E48" s="9">
        <f t="shared" si="15"/>
        <v>482242.58730007015</v>
      </c>
      <c r="F48" s="9">
        <f t="shared" si="5"/>
        <v>49291.821855614311</v>
      </c>
      <c r="G48" s="9">
        <f t="shared" si="6"/>
        <v>36968.866391710741</v>
      </c>
      <c r="H48" s="9">
        <f t="shared" si="7"/>
        <v>102413.18859846627</v>
      </c>
      <c r="I48" s="10">
        <f t="shared" si="8"/>
        <v>0</v>
      </c>
      <c r="J48" s="5">
        <f t="shared" si="0"/>
        <v>0.48224258730007014</v>
      </c>
      <c r="K48" s="10">
        <f t="shared" si="1"/>
        <v>-71910.077727680735</v>
      </c>
      <c r="L48" s="5">
        <f t="shared" si="2"/>
        <v>-7.191007772768071E-2</v>
      </c>
      <c r="M48" s="5">
        <f t="shared" si="9"/>
        <v>1.7068864766411045</v>
      </c>
      <c r="N48" s="9">
        <f t="shared" si="10"/>
        <v>482242.58730005595</v>
      </c>
      <c r="O48" s="5">
        <f t="shared" si="11"/>
        <v>0.48224258730005592</v>
      </c>
      <c r="P48" s="5"/>
      <c r="Q48" s="9">
        <f t="shared" si="12"/>
        <v>5464683.0255750688</v>
      </c>
      <c r="R48" s="9">
        <f t="shared" si="13"/>
        <v>4982440.4382750131</v>
      </c>
      <c r="S48" s="9">
        <f t="shared" si="14"/>
        <v>0</v>
      </c>
    </row>
    <row r="49" spans="4:19" x14ac:dyDescent="0.25">
      <c r="D49" s="3">
        <f t="shared" si="3"/>
        <v>27</v>
      </c>
      <c r="E49" s="9">
        <f t="shared" si="15"/>
        <v>410332.50957238942</v>
      </c>
      <c r="F49" s="9">
        <f t="shared" si="5"/>
        <v>43401.832857006309</v>
      </c>
      <c r="G49" s="9">
        <f t="shared" si="6"/>
        <v>32551.374642754738</v>
      </c>
      <c r="H49" s="9">
        <f t="shared" si="7"/>
        <v>104461.45237043561</v>
      </c>
      <c r="I49" s="10">
        <f t="shared" si="8"/>
        <v>0</v>
      </c>
      <c r="J49" s="5">
        <f t="shared" si="0"/>
        <v>0.41033250957238943</v>
      </c>
      <c r="K49" s="10">
        <f t="shared" si="1"/>
        <v>-78853.237021707988</v>
      </c>
      <c r="L49" s="5">
        <f t="shared" si="2"/>
        <v>-7.8853237021707989E-2</v>
      </c>
      <c r="M49" s="5">
        <f t="shared" si="9"/>
        <v>1.7410242061739269</v>
      </c>
      <c r="N49" s="9">
        <f t="shared" si="10"/>
        <v>410332.50957237399</v>
      </c>
      <c r="O49" s="5">
        <f t="shared" si="11"/>
        <v>0.41033250957237399</v>
      </c>
      <c r="P49" s="5"/>
      <c r="Q49" s="9">
        <f t="shared" si="12"/>
        <v>5833549.1298013851</v>
      </c>
      <c r="R49" s="9">
        <f t="shared" si="13"/>
        <v>5423216.6202290114</v>
      </c>
      <c r="S49" s="9">
        <f t="shared" si="14"/>
        <v>0</v>
      </c>
    </row>
    <row r="50" spans="4:19" x14ac:dyDescent="0.25">
      <c r="D50" s="3">
        <f t="shared" si="3"/>
        <v>28</v>
      </c>
      <c r="E50" s="9">
        <f t="shared" si="15"/>
        <v>331479.27255068143</v>
      </c>
      <c r="F50" s="9">
        <f t="shared" si="5"/>
        <v>36929.925861515047</v>
      </c>
      <c r="G50" s="9">
        <f t="shared" si="6"/>
        <v>27697.444396136289</v>
      </c>
      <c r="H50" s="9">
        <f t="shared" si="7"/>
        <v>106550.68141784432</v>
      </c>
      <c r="I50" s="10">
        <f t="shared" si="8"/>
        <v>0</v>
      </c>
      <c r="J50" s="5">
        <f t="shared" si="0"/>
        <v>0.33147927255068144</v>
      </c>
      <c r="K50" s="10">
        <f t="shared" si="1"/>
        <v>-86306.844149030192</v>
      </c>
      <c r="L50" s="5">
        <f t="shared" si="2"/>
        <v>-8.6306844149030199E-2</v>
      </c>
      <c r="M50" s="5">
        <f t="shared" si="9"/>
        <v>1.7758446902974052</v>
      </c>
      <c r="N50" s="9">
        <f t="shared" si="10"/>
        <v>331479.27255066542</v>
      </c>
      <c r="O50" s="5">
        <f t="shared" si="11"/>
        <v>0.33147927255066545</v>
      </c>
      <c r="P50" s="5"/>
      <c r="Q50" s="9">
        <f t="shared" si="12"/>
        <v>6227313.6960629784</v>
      </c>
      <c r="R50" s="9">
        <f t="shared" si="13"/>
        <v>5895834.4235123126</v>
      </c>
      <c r="S50" s="9">
        <f t="shared" si="14"/>
        <v>0</v>
      </c>
    </row>
    <row r="51" spans="4:19" x14ac:dyDescent="0.25">
      <c r="D51" s="3">
        <f t="shared" si="3"/>
        <v>29</v>
      </c>
      <c r="E51" s="9">
        <f t="shared" si="15"/>
        <v>245172.42840165124</v>
      </c>
      <c r="F51" s="9">
        <f t="shared" si="5"/>
        <v>29833.134529561328</v>
      </c>
      <c r="G51" s="9">
        <f t="shared" si="6"/>
        <v>22374.850897171</v>
      </c>
      <c r="H51" s="9">
        <f t="shared" si="7"/>
        <v>108681.6950462012</v>
      </c>
      <c r="I51" s="10">
        <f t="shared" si="8"/>
        <v>0</v>
      </c>
      <c r="J51" s="5">
        <f t="shared" si="0"/>
        <v>0.24517242840165124</v>
      </c>
      <c r="K51" s="10">
        <f t="shared" si="1"/>
        <v>-94306.190030013706</v>
      </c>
      <c r="L51" s="5">
        <f t="shared" si="2"/>
        <v>-9.4306190030013698E-2</v>
      </c>
      <c r="M51" s="5">
        <f t="shared" si="9"/>
        <v>1.8113615841033535</v>
      </c>
      <c r="N51" s="9">
        <f t="shared" si="10"/>
        <v>245172.42840163346</v>
      </c>
      <c r="O51" s="5">
        <f t="shared" si="11"/>
        <v>0.24517242840163345</v>
      </c>
      <c r="P51" s="5"/>
      <c r="Q51" s="9">
        <f t="shared" si="12"/>
        <v>6647657.3705472294</v>
      </c>
      <c r="R51" s="9">
        <f t="shared" si="13"/>
        <v>6402484.9421455953</v>
      </c>
      <c r="S51" s="9">
        <f t="shared" si="14"/>
        <v>0</v>
      </c>
    </row>
    <row r="52" spans="4:19" x14ac:dyDescent="0.25">
      <c r="D52" s="3">
        <f t="shared" si="3"/>
        <v>30</v>
      </c>
      <c r="E52" s="9">
        <f t="shared" si="15"/>
        <v>150866.23837163753</v>
      </c>
      <c r="F52" s="9">
        <f t="shared" si="5"/>
        <v>22065.518556148611</v>
      </c>
      <c r="G52" s="9">
        <f t="shared" si="6"/>
        <v>16549.138917111461</v>
      </c>
      <c r="H52" s="9">
        <f t="shared" si="7"/>
        <v>110855.32894712521</v>
      </c>
      <c r="I52" s="10">
        <f t="shared" si="8"/>
        <v>0</v>
      </c>
      <c r="J52" s="5">
        <f t="shared" si="0"/>
        <v>0.15086623837163754</v>
      </c>
      <c r="K52" s="10">
        <f t="shared" si="1"/>
        <v>-102888.9644359822</v>
      </c>
      <c r="L52" s="5">
        <f t="shared" si="2"/>
        <v>-0.10288896443598219</v>
      </c>
      <c r="M52" s="5">
        <f t="shared" si="9"/>
        <v>1.8475888157854201</v>
      </c>
      <c r="N52" s="9">
        <f t="shared" si="10"/>
        <v>150866.23837161905</v>
      </c>
      <c r="O52" s="5">
        <f t="shared" si="11"/>
        <v>0.15086623837161905</v>
      </c>
      <c r="P52" s="5"/>
      <c r="Q52" s="9">
        <f t="shared" si="12"/>
        <v>7096374.2430591667</v>
      </c>
      <c r="R52" s="9">
        <f t="shared" si="13"/>
        <v>6945508.0046875477</v>
      </c>
      <c r="S52" s="9">
        <f t="shared" si="14"/>
        <v>0</v>
      </c>
    </row>
    <row r="53" spans="4:19" x14ac:dyDescent="0.25">
      <c r="D53" s="3">
        <f t="shared" si="3"/>
        <v>31</v>
      </c>
      <c r="E53" s="9">
        <f t="shared" si="15"/>
        <v>47977.273935655336</v>
      </c>
      <c r="F53" s="9">
        <f t="shared" si="5"/>
        <v>13577.961453447377</v>
      </c>
      <c r="G53" s="9">
        <f t="shared" si="6"/>
        <v>10183.471090085533</v>
      </c>
      <c r="H53" s="9">
        <f t="shared" si="7"/>
        <v>113072.43552606774</v>
      </c>
      <c r="I53" s="10">
        <f t="shared" si="8"/>
        <v>0</v>
      </c>
      <c r="J53" s="5">
        <f t="shared" si="0"/>
        <v>4.7977273935655339E-2</v>
      </c>
      <c r="K53" s="10">
        <f t="shared" si="1"/>
        <v>-112095.41824593236</v>
      </c>
      <c r="L53" s="5">
        <f t="shared" si="2"/>
        <v>-0.11209541824593236</v>
      </c>
      <c r="M53" s="5">
        <f t="shared" si="9"/>
        <v>1.8845405921011289</v>
      </c>
      <c r="N53" s="9">
        <f t="shared" si="10"/>
        <v>47977.273935634556</v>
      </c>
      <c r="O53" s="5">
        <f t="shared" si="11"/>
        <v>4.7977273935634557E-2</v>
      </c>
      <c r="P53" s="5"/>
      <c r="Q53" s="9">
        <f t="shared" si="12"/>
        <v>7575379.5044656582</v>
      </c>
      <c r="R53" s="9">
        <f t="shared" si="13"/>
        <v>7527402.2305300236</v>
      </c>
      <c r="S53" s="9">
        <f t="shared" si="14"/>
        <v>0</v>
      </c>
    </row>
    <row r="54" spans="4:19" x14ac:dyDescent="0.25">
      <c r="D54" s="3">
        <f t="shared" si="3"/>
        <v>32</v>
      </c>
      <c r="E54" s="9">
        <f t="shared" si="15"/>
        <v>-64118.144310277028</v>
      </c>
      <c r="F54" s="9">
        <f t="shared" si="5"/>
        <v>4317.9546542089802</v>
      </c>
      <c r="G54" s="9">
        <f t="shared" si="6"/>
        <v>3238.4659906567354</v>
      </c>
      <c r="H54" s="9">
        <f t="shared" si="7"/>
        <v>115333.8842365891</v>
      </c>
      <c r="I54" s="10">
        <f t="shared" si="8"/>
        <v>0</v>
      </c>
      <c r="J54" s="5">
        <f t="shared" si="0"/>
        <v>-6.4118144310277028E-2</v>
      </c>
      <c r="K54" s="10">
        <f t="shared" si="1"/>
        <v>-121968.5366622646</v>
      </c>
      <c r="L54" s="5">
        <f t="shared" si="2"/>
        <v>-0.12196853666226461</v>
      </c>
      <c r="M54" s="5">
        <f t="shared" si="9"/>
        <v>1.9222314039431516</v>
      </c>
      <c r="N54" s="9">
        <f t="shared" si="10"/>
        <v>-64118.144310299387</v>
      </c>
      <c r="O54" s="5">
        <f t="shared" si="11"/>
        <v>-6.4118144310299385E-2</v>
      </c>
      <c r="P54" s="5"/>
      <c r="Q54" s="9">
        <f t="shared" si="12"/>
        <v>8086717.62101709</v>
      </c>
      <c r="R54" s="9">
        <f t="shared" si="13"/>
        <v>8150835.7653273894</v>
      </c>
      <c r="S54" s="9">
        <f t="shared" si="14"/>
        <v>0</v>
      </c>
    </row>
    <row r="55" spans="4:19" x14ac:dyDescent="0.25">
      <c r="D55" s="3">
        <f t="shared" si="3"/>
        <v>33</v>
      </c>
      <c r="E55" s="9">
        <f t="shared" si="15"/>
        <v>-186086.68097254162</v>
      </c>
      <c r="F55" s="9">
        <f t="shared" si="5"/>
        <v>-5770.6329879249324</v>
      </c>
      <c r="G55" s="9">
        <f t="shared" si="6"/>
        <v>-4327.9747409436995</v>
      </c>
      <c r="H55" s="9">
        <f t="shared" si="7"/>
        <v>117640.56192132087</v>
      </c>
      <c r="I55" s="10">
        <f t="shared" si="8"/>
        <v>0</v>
      </c>
      <c r="J55" s="5">
        <f t="shared" si="0"/>
        <v>-0.18608668097254163</v>
      </c>
      <c r="K55" s="10">
        <f t="shared" si="1"/>
        <v>-132554.22412539384</v>
      </c>
      <c r="L55" s="5">
        <f t="shared" si="2"/>
        <v>-0.13255422412539383</v>
      </c>
      <c r="M55" s="5">
        <f t="shared" si="9"/>
        <v>1.9606760320220145</v>
      </c>
      <c r="N55" s="9">
        <f t="shared" si="10"/>
        <v>-186086.68097256497</v>
      </c>
      <c r="O55" s="5">
        <f t="shared" si="11"/>
        <v>-0.18608668097256498</v>
      </c>
      <c r="P55" s="5"/>
      <c r="Q55" s="9">
        <f t="shared" si="12"/>
        <v>8632571.060435744</v>
      </c>
      <c r="R55" s="9">
        <f t="shared" si="13"/>
        <v>8818657.741408309</v>
      </c>
      <c r="S55" s="9">
        <f t="shared" si="14"/>
        <v>0</v>
      </c>
    </row>
    <row r="56" spans="4:19" x14ac:dyDescent="0.25">
      <c r="D56" s="3">
        <f t="shared" si="3"/>
        <v>34</v>
      </c>
      <c r="E56" s="9">
        <f t="shared" si="15"/>
        <v>-318640.90509793547</v>
      </c>
      <c r="F56" s="9">
        <f t="shared" si="5"/>
        <v>-16747.801287528746</v>
      </c>
      <c r="G56" s="9">
        <f t="shared" si="6"/>
        <v>-12560.850965646561</v>
      </c>
      <c r="H56" s="9">
        <f t="shared" si="7"/>
        <v>119993.37315974728</v>
      </c>
      <c r="I56" s="10">
        <f t="shared" si="8"/>
        <v>0</v>
      </c>
      <c r="J56" s="5">
        <f t="shared" si="0"/>
        <v>-0.31864090509793547</v>
      </c>
      <c r="K56" s="10">
        <f t="shared" si="1"/>
        <v>-143901.50171705289</v>
      </c>
      <c r="L56" s="5">
        <f t="shared" si="2"/>
        <v>-0.1439015017170529</v>
      </c>
      <c r="M56" s="5">
        <f t="shared" si="9"/>
        <v>1.9998895526624547</v>
      </c>
      <c r="N56" s="9">
        <f t="shared" si="10"/>
        <v>-318640.9050979595</v>
      </c>
      <c r="O56" s="5">
        <f t="shared" si="11"/>
        <v>-0.3186409050979595</v>
      </c>
      <c r="P56" s="5"/>
      <c r="Q56" s="9">
        <f t="shared" si="12"/>
        <v>9215269.6070151553</v>
      </c>
      <c r="R56" s="9">
        <f t="shared" si="13"/>
        <v>9533910.5121131148</v>
      </c>
      <c r="S56" s="9">
        <f t="shared" si="14"/>
        <v>0</v>
      </c>
    </row>
    <row r="57" spans="4:19" x14ac:dyDescent="0.25">
      <c r="D57" s="3">
        <f t="shared" si="3"/>
        <v>35</v>
      </c>
      <c r="E57" s="9">
        <f t="shared" si="15"/>
        <v>-462542.40681498835</v>
      </c>
      <c r="F57" s="9">
        <f t="shared" si="5"/>
        <v>-28677.68145881419</v>
      </c>
      <c r="G57" s="9">
        <f t="shared" si="6"/>
        <v>-21508.261094110647</v>
      </c>
      <c r="H57" s="9">
        <f t="shared" si="7"/>
        <v>122393.24062294222</v>
      </c>
      <c r="I57" s="10">
        <f t="shared" si="8"/>
        <v>0</v>
      </c>
      <c r="J57" s="5">
        <f t="shared" si="0"/>
        <v>-0.46254240681498837</v>
      </c>
      <c r="K57" s="10">
        <f t="shared" si="1"/>
        <v>-156062.71789541293</v>
      </c>
      <c r="L57" s="5">
        <f t="shared" si="2"/>
        <v>-0.15606271789541293</v>
      </c>
      <c r="M57" s="5">
        <f t="shared" si="9"/>
        <v>2.0398873437157037</v>
      </c>
      <c r="N57" s="9">
        <f t="shared" si="10"/>
        <v>-462542.40681501455</v>
      </c>
      <c r="O57" s="5">
        <f t="shared" si="11"/>
        <v>-0.46254240681501457</v>
      </c>
      <c r="P57" s="5"/>
      <c r="Q57" s="9">
        <f t="shared" si="12"/>
        <v>9837300.3054886777</v>
      </c>
      <c r="R57" s="9">
        <f t="shared" si="13"/>
        <v>10299842.712303691</v>
      </c>
      <c r="S57" s="9">
        <f t="shared" si="14"/>
        <v>0</v>
      </c>
    </row>
    <row r="58" spans="4:19" x14ac:dyDescent="0.25">
      <c r="D58" s="3">
        <f t="shared" si="3"/>
        <v>36</v>
      </c>
      <c r="E58" s="9">
        <f t="shared" si="15"/>
        <v>-618605.12471040129</v>
      </c>
      <c r="F58" s="9">
        <f t="shared" si="5"/>
        <v>-41628.81661334895</v>
      </c>
      <c r="G58" s="9">
        <f t="shared" si="6"/>
        <v>-31221.612460011715</v>
      </c>
      <c r="H58" s="9">
        <f t="shared" si="7"/>
        <v>124841.10543540108</v>
      </c>
      <c r="I58" s="10">
        <f t="shared" si="8"/>
        <v>0</v>
      </c>
      <c r="J58" s="5">
        <f t="shared" si="0"/>
        <v>-0.6186051247104013</v>
      </c>
      <c r="K58" s="10">
        <f t="shared" si="1"/>
        <v>-169093.7734620613</v>
      </c>
      <c r="L58" s="5">
        <f t="shared" si="2"/>
        <v>-0.16909377346206134</v>
      </c>
      <c r="M58" s="5">
        <f t="shared" si="9"/>
        <v>2.080685090590018</v>
      </c>
      <c r="N58" s="9">
        <f t="shared" si="10"/>
        <v>-618605.12471043097</v>
      </c>
      <c r="O58" s="5">
        <f t="shared" si="11"/>
        <v>-0.61860512471043094</v>
      </c>
      <c r="P58" s="5"/>
      <c r="Q58" s="9">
        <f t="shared" si="12"/>
        <v>10501318.076109163</v>
      </c>
      <c r="R58" s="9">
        <f t="shared" si="13"/>
        <v>11119923.200819593</v>
      </c>
      <c r="S58" s="9">
        <f t="shared" si="14"/>
        <v>0</v>
      </c>
    </row>
    <row r="59" spans="4:19" x14ac:dyDescent="0.25">
      <c r="D59" s="3">
        <f t="shared" si="3"/>
        <v>37</v>
      </c>
      <c r="E59" s="9">
        <f t="shared" si="15"/>
        <v>-787698.89817246259</v>
      </c>
      <c r="F59" s="9">
        <f t="shared" si="5"/>
        <v>-55674.461223936116</v>
      </c>
      <c r="G59" s="9">
        <f t="shared" si="6"/>
        <v>-41755.845917952087</v>
      </c>
      <c r="H59" s="9">
        <f t="shared" si="7"/>
        <v>127337.92754410912</v>
      </c>
      <c r="I59" s="10">
        <f t="shared" si="8"/>
        <v>0</v>
      </c>
      <c r="J59" s="5">
        <f t="shared" si="0"/>
        <v>-0.78769889817246264</v>
      </c>
      <c r="K59" s="10">
        <f t="shared" si="1"/>
        <v>-183054.36172163265</v>
      </c>
      <c r="L59" s="5">
        <f t="shared" si="2"/>
        <v>-0.18305436172163259</v>
      </c>
      <c r="M59" s="5">
        <f t="shared" si="9"/>
        <v>2.1222987924018186</v>
      </c>
      <c r="N59" s="9">
        <f t="shared" si="10"/>
        <v>-787698.8981724917</v>
      </c>
      <c r="O59" s="5">
        <f t="shared" si="11"/>
        <v>-0.78769889817249172</v>
      </c>
      <c r="P59" s="5"/>
      <c r="Q59" s="9">
        <f t="shared" si="12"/>
        <v>11210157.046246529</v>
      </c>
      <c r="R59" s="9">
        <f t="shared" si="13"/>
        <v>11997855.944419021</v>
      </c>
      <c r="S59" s="9">
        <f t="shared" si="14"/>
        <v>0</v>
      </c>
    </row>
    <row r="60" spans="4:19" x14ac:dyDescent="0.25">
      <c r="D60" s="3">
        <f t="shared" si="3"/>
        <v>38</v>
      </c>
      <c r="E60" s="9">
        <f t="shared" si="15"/>
        <v>-970753.25989409524</v>
      </c>
      <c r="F60" s="9">
        <f t="shared" si="5"/>
        <v>-70892.900835521636</v>
      </c>
      <c r="G60" s="9">
        <f t="shared" si="6"/>
        <v>-53169.675626641227</v>
      </c>
      <c r="H60" s="9">
        <f t="shared" si="7"/>
        <v>129884.68609499125</v>
      </c>
      <c r="I60" s="10">
        <f t="shared" si="8"/>
        <v>0</v>
      </c>
      <c r="J60" s="5">
        <f t="shared" si="0"/>
        <v>-0.97075325989409522</v>
      </c>
      <c r="K60" s="10">
        <f t="shared" si="1"/>
        <v>-198008.22485974256</v>
      </c>
      <c r="L60" s="5">
        <f t="shared" si="2"/>
        <v>-0.19800822485974268</v>
      </c>
      <c r="M60" s="5">
        <f t="shared" si="9"/>
        <v>2.1647447682498542</v>
      </c>
      <c r="N60" s="9">
        <f t="shared" si="10"/>
        <v>-970753.25989412772</v>
      </c>
      <c r="O60" s="5">
        <f t="shared" si="11"/>
        <v>-0.97075325989412775</v>
      </c>
      <c r="P60" s="5"/>
      <c r="Q60" s="9">
        <f t="shared" si="12"/>
        <v>11966842.646868169</v>
      </c>
      <c r="R60" s="9">
        <f t="shared" si="13"/>
        <v>12937595.906762296</v>
      </c>
      <c r="S60" s="9">
        <f t="shared" si="14"/>
        <v>0</v>
      </c>
    </row>
    <row r="61" spans="4:19" x14ac:dyDescent="0.25">
      <c r="D61" s="3">
        <f t="shared" si="3"/>
        <v>39</v>
      </c>
      <c r="E61" s="9">
        <f t="shared" si="15"/>
        <v>-1168761.4847538378</v>
      </c>
      <c r="F61" s="9">
        <f t="shared" si="5"/>
        <v>-87367.793390468563</v>
      </c>
      <c r="G61" s="9">
        <f t="shared" si="6"/>
        <v>-65525.845042851433</v>
      </c>
      <c r="H61" s="9">
        <f t="shared" si="7"/>
        <v>132482.3798168911</v>
      </c>
      <c r="I61" s="10">
        <f t="shared" si="8"/>
        <v>0</v>
      </c>
      <c r="J61" s="5">
        <f t="shared" si="0"/>
        <v>-1.1687614847538379</v>
      </c>
      <c r="K61" s="10">
        <f t="shared" si="1"/>
        <v>-214023.42763411324</v>
      </c>
      <c r="L61" s="5">
        <f t="shared" si="2"/>
        <v>-0.21402342763411308</v>
      </c>
      <c r="M61" s="5">
        <f t="shared" si="9"/>
        <v>2.2080396636148518</v>
      </c>
      <c r="N61" s="9">
        <f t="shared" si="10"/>
        <v>-1168761.4847538725</v>
      </c>
      <c r="O61" s="5">
        <f t="shared" si="11"/>
        <v>-1.1687614847538725</v>
      </c>
      <c r="P61" s="5"/>
      <c r="Q61" s="9">
        <f t="shared" si="12"/>
        <v>12774604.525531767</v>
      </c>
      <c r="R61" s="9">
        <f t="shared" si="13"/>
        <v>13943366.01028564</v>
      </c>
      <c r="S61" s="9">
        <f t="shared" si="14"/>
        <v>0</v>
      </c>
    </row>
    <row r="62" spans="4:19" x14ac:dyDescent="0.25">
      <c r="D62" s="3">
        <f t="shared" si="3"/>
        <v>40</v>
      </c>
      <c r="E62" s="9">
        <f t="shared" si="15"/>
        <v>-1382784.912387951</v>
      </c>
      <c r="F62" s="9">
        <f t="shared" si="5"/>
        <v>-105188.53362784541</v>
      </c>
      <c r="G62" s="9">
        <f t="shared" si="6"/>
        <v>-78891.400220884054</v>
      </c>
      <c r="H62" s="9">
        <f t="shared" si="7"/>
        <v>135132.02741322893</v>
      </c>
      <c r="I62" s="10">
        <f t="shared" si="8"/>
        <v>0</v>
      </c>
      <c r="J62" s="5">
        <f t="shared" si="0"/>
        <v>-1.382784912387951</v>
      </c>
      <c r="K62" s="10">
        <f t="shared" si="1"/>
        <v>1382784.912387951</v>
      </c>
      <c r="L62" s="5"/>
      <c r="M62" s="5"/>
      <c r="N62" s="9"/>
      <c r="O62" s="9"/>
      <c r="P62" s="9"/>
    </row>
  </sheetData>
  <mergeCells count="1">
    <mergeCell ref="N7:O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1"/>
  <sheetViews>
    <sheetView workbookViewId="0">
      <selection activeCell="C14" sqref="C14"/>
    </sheetView>
  </sheetViews>
  <sheetFormatPr defaultRowHeight="14.5" x14ac:dyDescent="0.35"/>
  <cols>
    <col min="3" max="3" width="44.90625" bestFit="1" customWidth="1"/>
    <col min="5" max="5" width="9.7265625" bestFit="1" customWidth="1"/>
    <col min="6" max="6" width="10.1796875" style="17" customWidth="1"/>
    <col min="7" max="7" width="8.7265625" style="17"/>
  </cols>
  <sheetData>
    <row r="2" spans="3:6" x14ac:dyDescent="0.35">
      <c r="C2" t="s">
        <v>51</v>
      </c>
      <c r="D2" t="s">
        <v>48</v>
      </c>
      <c r="E2">
        <v>20</v>
      </c>
    </row>
    <row r="3" spans="3:6" x14ac:dyDescent="0.35">
      <c r="C3" t="s">
        <v>36</v>
      </c>
      <c r="D3" t="s">
        <v>42</v>
      </c>
      <c r="E3" s="17">
        <v>500000</v>
      </c>
    </row>
    <row r="4" spans="3:6" x14ac:dyDescent="0.35">
      <c r="C4" t="s">
        <v>38</v>
      </c>
      <c r="D4" t="s">
        <v>37</v>
      </c>
      <c r="E4" s="18">
        <v>0.1</v>
      </c>
    </row>
    <row r="5" spans="3:6" x14ac:dyDescent="0.35">
      <c r="C5" t="s">
        <v>39</v>
      </c>
      <c r="D5" t="s">
        <v>40</v>
      </c>
      <c r="E5" s="18">
        <v>0.01</v>
      </c>
    </row>
    <row r="6" spans="3:6" x14ac:dyDescent="0.35">
      <c r="C6" t="s">
        <v>41</v>
      </c>
      <c r="D6" t="s">
        <v>1</v>
      </c>
      <c r="E6" s="17">
        <v>80000</v>
      </c>
    </row>
    <row r="7" spans="3:6" x14ac:dyDescent="0.35">
      <c r="C7" t="s">
        <v>6</v>
      </c>
      <c r="D7" t="s">
        <v>7</v>
      </c>
      <c r="E7" s="18">
        <v>0.02</v>
      </c>
    </row>
    <row r="8" spans="3:6" x14ac:dyDescent="0.35">
      <c r="C8" t="s">
        <v>43</v>
      </c>
      <c r="D8" t="s">
        <v>11</v>
      </c>
      <c r="E8" s="18">
        <v>0.25</v>
      </c>
    </row>
    <row r="9" spans="3:6" x14ac:dyDescent="0.35">
      <c r="C9" t="s">
        <v>44</v>
      </c>
      <c r="D9" t="s">
        <v>45</v>
      </c>
      <c r="E9" s="17">
        <v>3000</v>
      </c>
    </row>
    <row r="10" spans="3:6" x14ac:dyDescent="0.35">
      <c r="C10" t="s">
        <v>46</v>
      </c>
      <c r="D10" t="s">
        <v>47</v>
      </c>
      <c r="E10" s="17">
        <v>0</v>
      </c>
    </row>
    <row r="11" spans="3:6" x14ac:dyDescent="0.35">
      <c r="C11" t="s">
        <v>61</v>
      </c>
      <c r="D11" t="s">
        <v>62</v>
      </c>
      <c r="E11" s="17">
        <f>E3*(1+E4)^E2</f>
        <v>3363749.9746628045</v>
      </c>
      <c r="F11" s="19">
        <f>E11/E3</f>
        <v>6.7274999493256091</v>
      </c>
    </row>
    <row r="14" spans="3:6" x14ac:dyDescent="0.35">
      <c r="C14" t="s">
        <v>94</v>
      </c>
    </row>
    <row r="20" spans="5:8" x14ac:dyDescent="0.35">
      <c r="E20" s="1" t="s">
        <v>49</v>
      </c>
      <c r="F20" s="17" t="s">
        <v>50</v>
      </c>
      <c r="G20" s="17" t="s">
        <v>59</v>
      </c>
      <c r="H20" t="s">
        <v>60</v>
      </c>
    </row>
    <row r="21" spans="5:8" x14ac:dyDescent="0.35">
      <c r="E21" s="3">
        <f>IF(E20="Year n",0,E20+1)</f>
        <v>0</v>
      </c>
      <c r="F21" s="17">
        <f>IF(E21=0,$E$3*(1+$E$4)^$E$2+$E$10,F20*(1+$E$5)-(1+$E$8)*$E$6*(1+$E$7)^($E$2+E21) + (1-$E$8)*$E$9*12)</f>
        <v>3363749.9746628045</v>
      </c>
      <c r="G21" s="17">
        <f>$E$6*(1+$E$7)^($E$2+E21)</f>
        <v>118875.79167826835</v>
      </c>
      <c r="H21" s="16">
        <f>F21/F$21</f>
        <v>1</v>
      </c>
    </row>
    <row r="22" spans="5:8" x14ac:dyDescent="0.35">
      <c r="E22" s="3">
        <f t="shared" ref="E22:E41" si="0">IF(E21="Year n",0,E21+1)</f>
        <v>1</v>
      </c>
      <c r="F22" s="17">
        <f t="shared" ref="F22:F41" si="1">IF(E22=0,$E$3*(1+$E$4)^$E$2+$E$10,F21*(1+$E$5)-(1+$E$8)*$E$6*(1+$E$7)^($E$2+E22) + (1-$E$8)*$E$9*12)</f>
        <v>3272820.8400196405</v>
      </c>
      <c r="G22" s="17">
        <f t="shared" ref="G22:G41" si="2">$E$6*(1+$E$7)^($E$2+E22)</f>
        <v>121253.3075118337</v>
      </c>
      <c r="H22" s="16">
        <f t="shared" ref="H22:H41" si="3">F22/F$21</f>
        <v>0.97296792706708857</v>
      </c>
    </row>
    <row r="23" spans="5:8" x14ac:dyDescent="0.35">
      <c r="E23" s="3">
        <f t="shared" si="0"/>
        <v>2</v>
      </c>
      <c r="F23" s="17">
        <f t="shared" si="1"/>
        <v>3177951.0813422492</v>
      </c>
      <c r="G23" s="17">
        <f t="shared" si="2"/>
        <v>123678.37366207037</v>
      </c>
      <c r="H23" s="16">
        <f t="shared" si="3"/>
        <v>0.9447643568279237</v>
      </c>
    </row>
    <row r="24" spans="5:8" x14ac:dyDescent="0.35">
      <c r="E24" s="3">
        <f t="shared" si="0"/>
        <v>3</v>
      </c>
      <c r="F24" s="17">
        <f t="shared" si="1"/>
        <v>3079040.6657365318</v>
      </c>
      <c r="G24" s="17">
        <f t="shared" si="2"/>
        <v>126151.94113531176</v>
      </c>
      <c r="H24" s="16">
        <f t="shared" si="3"/>
        <v>0.91535955077790432</v>
      </c>
    </row>
    <row r="25" spans="5:8" x14ac:dyDescent="0.35">
      <c r="E25" s="3">
        <f t="shared" si="0"/>
        <v>4</v>
      </c>
      <c r="F25" s="17">
        <f t="shared" si="1"/>
        <v>2975987.3474463746</v>
      </c>
      <c r="G25" s="17">
        <f t="shared" si="2"/>
        <v>128674.979958018</v>
      </c>
      <c r="H25" s="16">
        <f t="shared" si="3"/>
        <v>0.88472311255675273</v>
      </c>
    </row>
    <row r="26" spans="5:8" x14ac:dyDescent="0.35">
      <c r="E26" s="3">
        <f t="shared" si="0"/>
        <v>5</v>
      </c>
      <c r="F26" s="17">
        <f t="shared" si="1"/>
        <v>2868686.6214743657</v>
      </c>
      <c r="G26" s="17">
        <f t="shared" si="2"/>
        <v>131248.47955717836</v>
      </c>
      <c r="H26" s="16">
        <f t="shared" si="3"/>
        <v>0.85282397416054512</v>
      </c>
    </row>
    <row r="27" spans="5:8" x14ac:dyDescent="0.35">
      <c r="E27" s="3">
        <f t="shared" si="0"/>
        <v>6</v>
      </c>
      <c r="F27" s="17">
        <f t="shared" si="1"/>
        <v>2757031.6762537071</v>
      </c>
      <c r="G27" s="17">
        <f t="shared" si="2"/>
        <v>133873.44914832193</v>
      </c>
      <c r="H27" s="16">
        <f t="shared" si="3"/>
        <v>0.8196303818716737</v>
      </c>
    </row>
    <row r="28" spans="5:8" x14ac:dyDescent="0.35">
      <c r="E28" s="3">
        <f t="shared" si="0"/>
        <v>7</v>
      </c>
      <c r="F28" s="17">
        <f t="shared" si="1"/>
        <v>2640913.3453521337</v>
      </c>
      <c r="G28" s="17">
        <f t="shared" si="2"/>
        <v>136550.91813128834</v>
      </c>
      <c r="H28" s="16">
        <f t="shared" si="3"/>
        <v>0.78510988190103792</v>
      </c>
    </row>
    <row r="29" spans="5:8" x14ac:dyDescent="0.35">
      <c r="E29" s="3">
        <f t="shared" si="0"/>
        <v>8</v>
      </c>
      <c r="F29" s="17">
        <f t="shared" si="1"/>
        <v>2520220.0581882624</v>
      </c>
      <c r="G29" s="17">
        <f t="shared" si="2"/>
        <v>139281.93649391417</v>
      </c>
      <c r="H29" s="16">
        <f t="shared" si="3"/>
        <v>0.7492293057366427</v>
      </c>
    </row>
    <row r="30" spans="5:8" x14ac:dyDescent="0.35">
      <c r="E30" s="3">
        <f t="shared" si="0"/>
        <v>9</v>
      </c>
      <c r="F30" s="17">
        <f t="shared" si="1"/>
        <v>2394837.7897404046</v>
      </c>
      <c r="G30" s="17">
        <f t="shared" si="2"/>
        <v>142067.57522379243</v>
      </c>
      <c r="H30" s="16">
        <f t="shared" si="3"/>
        <v>0.71195475519266926</v>
      </c>
    </row>
    <row r="31" spans="5:8" x14ac:dyDescent="0.35">
      <c r="E31" s="3">
        <f t="shared" si="0"/>
        <v>10</v>
      </c>
      <c r="F31" s="17">
        <f t="shared" si="1"/>
        <v>2264650.0092274733</v>
      </c>
      <c r="G31" s="17">
        <f t="shared" si="2"/>
        <v>144908.92672826827</v>
      </c>
      <c r="H31" s="16">
        <f t="shared" si="3"/>
        <v>0.67325158715296329</v>
      </c>
    </row>
    <row r="32" spans="5:8" x14ac:dyDescent="0.35">
      <c r="E32" s="3">
        <f t="shared" si="0"/>
        <v>11</v>
      </c>
      <c r="F32" s="17">
        <f t="shared" si="1"/>
        <v>2129537.6277412064</v>
      </c>
      <c r="G32" s="17">
        <f t="shared" si="2"/>
        <v>147807.10526283362</v>
      </c>
      <c r="H32" s="16">
        <f t="shared" si="3"/>
        <v>0.63308439800276173</v>
      </c>
    </row>
    <row r="33" spans="5:8" x14ac:dyDescent="0.35">
      <c r="E33" s="3">
        <f t="shared" si="0"/>
        <v>12</v>
      </c>
      <c r="F33" s="17">
        <f t="shared" si="1"/>
        <v>1989378.9448085059</v>
      </c>
      <c r="G33" s="17">
        <f t="shared" si="2"/>
        <v>150763.24736809032</v>
      </c>
      <c r="H33" s="16">
        <f t="shared" si="3"/>
        <v>0.59141700774235728</v>
      </c>
    </row>
    <row r="34" spans="5:8" x14ac:dyDescent="0.35">
      <c r="E34" s="3">
        <f t="shared" si="0"/>
        <v>13</v>
      </c>
      <c r="F34" s="17">
        <f t="shared" si="1"/>
        <v>1844049.5938622758</v>
      </c>
      <c r="G34" s="17">
        <f t="shared" si="2"/>
        <v>153778.51231545213</v>
      </c>
      <c r="H34" s="16">
        <f t="shared" si="3"/>
        <v>0.54821244377627398</v>
      </c>
    </row>
    <row r="35" spans="5:8" x14ac:dyDescent="0.35">
      <c r="E35" s="3">
        <f t="shared" si="0"/>
        <v>14</v>
      </c>
      <c r="F35" s="17">
        <f t="shared" si="1"/>
        <v>1693422.4865986973</v>
      </c>
      <c r="G35" s="17">
        <f t="shared" si="2"/>
        <v>156854.08256176117</v>
      </c>
      <c r="H35" s="16">
        <f t="shared" si="3"/>
        <v>0.50343292437139375</v>
      </c>
    </row>
    <row r="36" spans="5:8" x14ac:dyDescent="0.35">
      <c r="E36" s="3">
        <f t="shared" si="0"/>
        <v>15</v>
      </c>
      <c r="F36" s="17">
        <f t="shared" si="1"/>
        <v>1537367.7561984388</v>
      </c>
      <c r="G36" s="17">
        <f t="shared" si="2"/>
        <v>159991.16421299637</v>
      </c>
      <c r="H36" s="16">
        <f t="shared" si="3"/>
        <v>0.45703984177734569</v>
      </c>
    </row>
    <row r="37" spans="5:8" x14ac:dyDescent="0.35">
      <c r="E37" s="3">
        <f t="shared" si="0"/>
        <v>16</v>
      </c>
      <c r="F37" s="17">
        <f t="shared" si="1"/>
        <v>1375752.6993888528</v>
      </c>
      <c r="G37" s="17">
        <f t="shared" si="2"/>
        <v>163190.98749725628</v>
      </c>
      <c r="H37" s="16">
        <f t="shared" si="3"/>
        <v>0.40899374500233587</v>
      </c>
    </row>
    <row r="38" spans="5:8" x14ac:dyDescent="0.35">
      <c r="E38" s="3">
        <f t="shared" si="0"/>
        <v>17</v>
      </c>
      <c r="F38" s="17">
        <f t="shared" si="1"/>
        <v>1208441.7173237395</v>
      </c>
      <c r="G38" s="17">
        <f t="shared" si="2"/>
        <v>166454.80724720145</v>
      </c>
      <c r="H38" s="16">
        <f t="shared" si="3"/>
        <v>0.35925432223745418</v>
      </c>
    </row>
    <row r="39" spans="5:8" x14ac:dyDescent="0.35">
      <c r="E39" s="3">
        <f t="shared" si="0"/>
        <v>18</v>
      </c>
      <c r="F39" s="17">
        <f t="shared" si="1"/>
        <v>1035296.255256795</v>
      </c>
      <c r="G39" s="17">
        <f t="shared" si="2"/>
        <v>169783.9033921455</v>
      </c>
      <c r="H39" s="16">
        <f t="shared" si="3"/>
        <v>0.30778038292235949</v>
      </c>
    </row>
    <row r="40" spans="5:8" x14ac:dyDescent="0.35">
      <c r="E40" s="3">
        <f t="shared" si="0"/>
        <v>19</v>
      </c>
      <c r="F40" s="17">
        <f t="shared" si="1"/>
        <v>856174.74098437745</v>
      </c>
      <c r="G40" s="17">
        <f t="shared" si="2"/>
        <v>173179.58145998835</v>
      </c>
      <c r="H40" s="16">
        <f t="shared" si="3"/>
        <v>0.25452983944509838</v>
      </c>
    </row>
    <row r="41" spans="5:8" x14ac:dyDescent="0.35">
      <c r="E41" s="3">
        <f t="shared" si="0"/>
        <v>20</v>
      </c>
      <c r="F41" s="17">
        <f t="shared" si="1"/>
        <v>670932.5220327361</v>
      </c>
      <c r="G41" s="17">
        <f t="shared" si="2"/>
        <v>176643.17308918815</v>
      </c>
      <c r="H41" s="16">
        <f t="shared" si="3"/>
        <v>0.19945968846866896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B13" sqref="B13"/>
    </sheetView>
  </sheetViews>
  <sheetFormatPr defaultRowHeight="14.5" x14ac:dyDescent="0.35"/>
  <cols>
    <col min="1" max="1" width="33" bestFit="1" customWidth="1"/>
    <col min="14" max="14" width="8.7265625" style="12"/>
    <col min="15" max="17" width="10.08984375" style="12" customWidth="1"/>
  </cols>
  <sheetData>
    <row r="1" spans="1:21" x14ac:dyDescent="0.35">
      <c r="F1" t="s">
        <v>35</v>
      </c>
    </row>
    <row r="2" spans="1:21" x14ac:dyDescent="0.35">
      <c r="A2" t="s">
        <v>52</v>
      </c>
      <c r="B2" t="s">
        <v>53</v>
      </c>
      <c r="C2" s="11">
        <v>1</v>
      </c>
      <c r="F2" t="s">
        <v>95</v>
      </c>
      <c r="N2" s="28" t="s">
        <v>33</v>
      </c>
      <c r="O2" s="29"/>
      <c r="P2" s="29"/>
      <c r="Q2" s="29"/>
      <c r="R2" s="27" t="s">
        <v>34</v>
      </c>
      <c r="S2" s="27"/>
      <c r="T2" s="27"/>
      <c r="U2" s="27"/>
    </row>
    <row r="3" spans="1:21" x14ac:dyDescent="0.35">
      <c r="A3" t="s">
        <v>54</v>
      </c>
      <c r="B3" t="s">
        <v>28</v>
      </c>
      <c r="C3">
        <v>20</v>
      </c>
      <c r="E3" s="12" t="s">
        <v>28</v>
      </c>
      <c r="F3" s="13">
        <v>0.03</v>
      </c>
      <c r="G3" s="13">
        <v>0.05</v>
      </c>
      <c r="H3" s="13">
        <v>7.0000000000000007E-2</v>
      </c>
      <c r="I3" s="13">
        <v>0.08</v>
      </c>
      <c r="J3" s="13">
        <v>0.09</v>
      </c>
      <c r="K3" s="13">
        <v>0.1</v>
      </c>
      <c r="N3" s="12" t="s">
        <v>29</v>
      </c>
      <c r="O3" s="12" t="s">
        <v>30</v>
      </c>
      <c r="P3" s="12" t="s">
        <v>31</v>
      </c>
      <c r="Q3" s="12" t="s">
        <v>32</v>
      </c>
      <c r="R3" s="12" t="s">
        <v>30</v>
      </c>
      <c r="S3" s="12" t="s">
        <v>31</v>
      </c>
      <c r="T3" s="12" t="s">
        <v>32</v>
      </c>
    </row>
    <row r="4" spans="1:21" x14ac:dyDescent="0.35">
      <c r="A4" t="s">
        <v>56</v>
      </c>
      <c r="B4" t="s">
        <v>9</v>
      </c>
      <c r="C4" s="18">
        <f>(1+C2)^(1/C3) - 1</f>
        <v>3.5264923841377582E-2</v>
      </c>
      <c r="E4">
        <f>IF(E3="N",1,E3+1)</f>
        <v>1</v>
      </c>
      <c r="F4" s="16">
        <f t="shared" ref="F4:F23" si="0">(1+F$3)^$E4-1</f>
        <v>3.0000000000000027E-2</v>
      </c>
      <c r="G4" s="16">
        <f t="shared" ref="G4:K19" si="1">(1+G$3)^$E4-1</f>
        <v>5.0000000000000044E-2</v>
      </c>
      <c r="H4" s="16">
        <f t="shared" si="1"/>
        <v>7.0000000000000062E-2</v>
      </c>
      <c r="I4" s="16">
        <f t="shared" si="1"/>
        <v>8.0000000000000071E-2</v>
      </c>
      <c r="J4" s="16">
        <f t="shared" si="1"/>
        <v>9.000000000000008E-2</v>
      </c>
      <c r="K4" s="16">
        <f t="shared" si="1"/>
        <v>0.10000000000000009</v>
      </c>
      <c r="N4" s="13">
        <f>IF(N3="r(ROI)",1%,N3+1%)</f>
        <v>0.01</v>
      </c>
      <c r="O4" s="14">
        <f t="shared" ref="O4:O23" si="2">LN(VALUE(LEFT(O$3,1)))/LN(1+$N4)</f>
        <v>69.660716893574829</v>
      </c>
      <c r="P4" s="14">
        <f t="shared" ref="P4:Q19" si="3">LN(VALUE(LEFT(P$3,1)))/LN(1+$N4)</f>
        <v>110.40962404966885</v>
      </c>
      <c r="Q4" s="14">
        <f t="shared" si="3"/>
        <v>139.32143378714966</v>
      </c>
      <c r="R4" s="14">
        <f t="shared" ref="R4:R23" si="4">LN(VALUE(LEFT(R$3,1)))/$N4</f>
        <v>69.314718055994533</v>
      </c>
      <c r="S4" s="14">
        <f t="shared" ref="S4:T19" si="5">LN(VALUE(LEFT(S$3,1)))/$N4</f>
        <v>109.86122886681098</v>
      </c>
      <c r="T4" s="14">
        <f t="shared" si="5"/>
        <v>138.62943611198907</v>
      </c>
    </row>
    <row r="5" spans="1:21" x14ac:dyDescent="0.35">
      <c r="A5" t="s">
        <v>55</v>
      </c>
      <c r="B5" t="s">
        <v>9</v>
      </c>
      <c r="C5" s="18">
        <f>LN(1+C2)/C3</f>
        <v>3.4657359027997263E-2</v>
      </c>
      <c r="E5">
        <f t="shared" ref="E5:E23" si="6">IF(E4="N",1,E4+1)</f>
        <v>2</v>
      </c>
      <c r="F5" s="16">
        <f t="shared" si="0"/>
        <v>6.0899999999999954E-2</v>
      </c>
      <c r="G5" s="16">
        <f t="shared" si="1"/>
        <v>0.10250000000000004</v>
      </c>
      <c r="H5" s="16">
        <f t="shared" si="1"/>
        <v>0.14490000000000003</v>
      </c>
      <c r="I5" s="16">
        <f t="shared" si="1"/>
        <v>0.1664000000000001</v>
      </c>
      <c r="J5" s="16">
        <f t="shared" si="1"/>
        <v>0.18810000000000016</v>
      </c>
      <c r="K5" s="16">
        <f t="shared" si="1"/>
        <v>0.21000000000000019</v>
      </c>
      <c r="N5" s="13">
        <f t="shared" ref="N5:N23" si="7">IF(N4="r(ROI)",1%,N4+1%)</f>
        <v>0.02</v>
      </c>
      <c r="O5" s="14">
        <f t="shared" si="2"/>
        <v>35.002788781146499</v>
      </c>
      <c r="P5" s="14">
        <f t="shared" si="3"/>
        <v>55.478107638780394</v>
      </c>
      <c r="Q5" s="14">
        <f t="shared" si="3"/>
        <v>70.005577562292999</v>
      </c>
      <c r="R5" s="14">
        <f t="shared" si="4"/>
        <v>34.657359027997266</v>
      </c>
      <c r="S5" s="14">
        <f t="shared" si="5"/>
        <v>54.930614433405488</v>
      </c>
      <c r="T5" s="14">
        <f t="shared" si="5"/>
        <v>69.314718055994533</v>
      </c>
    </row>
    <row r="6" spans="1:21" x14ac:dyDescent="0.35">
      <c r="A6" t="s">
        <v>57</v>
      </c>
      <c r="B6" t="s">
        <v>58</v>
      </c>
      <c r="C6" s="18">
        <f>C2/C3</f>
        <v>0.05</v>
      </c>
      <c r="E6">
        <f t="shared" si="6"/>
        <v>3</v>
      </c>
      <c r="F6" s="16">
        <f t="shared" si="0"/>
        <v>9.2727000000000004E-2</v>
      </c>
      <c r="G6" s="16">
        <f t="shared" si="1"/>
        <v>0.15762500000000013</v>
      </c>
      <c r="H6" s="16">
        <f t="shared" si="1"/>
        <v>0.2250430000000001</v>
      </c>
      <c r="I6" s="16">
        <f t="shared" si="1"/>
        <v>0.25971200000000016</v>
      </c>
      <c r="J6" s="16">
        <f t="shared" si="1"/>
        <v>0.29502900000000021</v>
      </c>
      <c r="K6" s="16">
        <f t="shared" si="1"/>
        <v>0.33100000000000041</v>
      </c>
      <c r="N6" s="13">
        <f t="shared" si="7"/>
        <v>0.03</v>
      </c>
      <c r="O6" s="14">
        <f t="shared" si="2"/>
        <v>23.449772250437736</v>
      </c>
      <c r="P6" s="14">
        <f t="shared" si="3"/>
        <v>37.167009667395369</v>
      </c>
      <c r="Q6" s="14">
        <f t="shared" si="3"/>
        <v>46.899544500875471</v>
      </c>
      <c r="R6" s="14">
        <f t="shared" si="4"/>
        <v>23.104906018664845</v>
      </c>
      <c r="S6" s="14">
        <f t="shared" si="5"/>
        <v>36.62040962227033</v>
      </c>
      <c r="T6" s="14">
        <f t="shared" si="5"/>
        <v>46.209812037329691</v>
      </c>
    </row>
    <row r="7" spans="1:21" x14ac:dyDescent="0.35">
      <c r="E7">
        <f t="shared" si="6"/>
        <v>4</v>
      </c>
      <c r="F7" s="16">
        <f t="shared" si="0"/>
        <v>0.12550880999999992</v>
      </c>
      <c r="G7" s="16">
        <f t="shared" si="1"/>
        <v>0.21550625000000001</v>
      </c>
      <c r="H7" s="16">
        <f t="shared" si="1"/>
        <v>0.31079601000000001</v>
      </c>
      <c r="I7" s="16">
        <f t="shared" si="1"/>
        <v>0.3604889600000003</v>
      </c>
      <c r="J7" s="16">
        <f t="shared" si="1"/>
        <v>0.41158161000000026</v>
      </c>
      <c r="K7" s="16">
        <f t="shared" si="1"/>
        <v>0.4641000000000004</v>
      </c>
      <c r="N7" s="13">
        <f t="shared" si="7"/>
        <v>0.04</v>
      </c>
      <c r="O7" s="14">
        <f t="shared" si="2"/>
        <v>17.672987685129698</v>
      </c>
      <c r="P7" s="14">
        <f t="shared" si="3"/>
        <v>28.011022756637367</v>
      </c>
      <c r="Q7" s="14">
        <f t="shared" si="3"/>
        <v>35.345975370259396</v>
      </c>
      <c r="R7" s="14">
        <f t="shared" si="4"/>
        <v>17.328679513998633</v>
      </c>
      <c r="S7" s="14">
        <f t="shared" si="5"/>
        <v>27.465307216702744</v>
      </c>
      <c r="T7" s="14">
        <f t="shared" si="5"/>
        <v>34.657359027997266</v>
      </c>
    </row>
    <row r="8" spans="1:21" x14ac:dyDescent="0.35">
      <c r="E8">
        <f t="shared" si="6"/>
        <v>5</v>
      </c>
      <c r="F8" s="16">
        <f t="shared" si="0"/>
        <v>0.15927407429999985</v>
      </c>
      <c r="G8" s="16">
        <f t="shared" si="1"/>
        <v>0.27628156250000013</v>
      </c>
      <c r="H8" s="16">
        <f t="shared" si="1"/>
        <v>0.40255173070000017</v>
      </c>
      <c r="I8" s="16">
        <f t="shared" si="1"/>
        <v>0.46932807680000033</v>
      </c>
      <c r="J8" s="16">
        <f t="shared" si="1"/>
        <v>0.53862395490000048</v>
      </c>
      <c r="K8" s="16">
        <f t="shared" si="1"/>
        <v>0.61051000000000055</v>
      </c>
      <c r="N8" s="13">
        <f t="shared" si="7"/>
        <v>0.05</v>
      </c>
      <c r="O8" s="14">
        <f t="shared" si="2"/>
        <v>14.206699082890461</v>
      </c>
      <c r="P8" s="14">
        <f t="shared" si="3"/>
        <v>22.517085305411022</v>
      </c>
      <c r="Q8" s="14">
        <f t="shared" si="3"/>
        <v>28.413398165780922</v>
      </c>
      <c r="R8" s="14">
        <f t="shared" si="4"/>
        <v>13.862943611198904</v>
      </c>
      <c r="S8" s="14">
        <f t="shared" si="5"/>
        <v>21.972245773362193</v>
      </c>
      <c r="T8" s="14">
        <f t="shared" si="5"/>
        <v>27.725887222397809</v>
      </c>
    </row>
    <row r="9" spans="1:21" x14ac:dyDescent="0.35">
      <c r="E9">
        <f t="shared" si="6"/>
        <v>6</v>
      </c>
      <c r="F9" s="16">
        <f t="shared" si="0"/>
        <v>0.19405229652899991</v>
      </c>
      <c r="G9" s="16">
        <f t="shared" si="1"/>
        <v>0.34009564062499997</v>
      </c>
      <c r="H9" s="16">
        <f t="shared" si="1"/>
        <v>0.50073035184900005</v>
      </c>
      <c r="I9" s="16">
        <f t="shared" si="1"/>
        <v>0.58687432294400055</v>
      </c>
      <c r="J9" s="16">
        <f t="shared" si="1"/>
        <v>0.67710011084100064</v>
      </c>
      <c r="K9" s="16">
        <f t="shared" si="1"/>
        <v>0.77156100000000083</v>
      </c>
      <c r="N9" s="13">
        <f t="shared" si="7"/>
        <v>6.0000000000000005E-2</v>
      </c>
      <c r="O9" s="14">
        <f t="shared" si="2"/>
        <v>11.895661045941875</v>
      </c>
      <c r="P9" s="14">
        <f t="shared" si="3"/>
        <v>18.85417667910728</v>
      </c>
      <c r="Q9" s="14">
        <f t="shared" si="3"/>
        <v>23.79132209188375</v>
      </c>
      <c r="R9" s="14">
        <f t="shared" si="4"/>
        <v>11.552453009332421</v>
      </c>
      <c r="S9" s="14">
        <f t="shared" si="5"/>
        <v>18.310204811135161</v>
      </c>
      <c r="T9" s="14">
        <f t="shared" si="5"/>
        <v>23.104906018664842</v>
      </c>
    </row>
    <row r="10" spans="1:21" x14ac:dyDescent="0.35">
      <c r="A10" t="s">
        <v>96</v>
      </c>
      <c r="E10">
        <f t="shared" si="6"/>
        <v>7</v>
      </c>
      <c r="F10" s="16">
        <f t="shared" si="0"/>
        <v>0.22987386542486998</v>
      </c>
      <c r="G10" s="16">
        <f t="shared" si="1"/>
        <v>0.40710042265625024</v>
      </c>
      <c r="H10" s="16">
        <f t="shared" si="1"/>
        <v>0.60578147647843017</v>
      </c>
      <c r="I10" s="16">
        <f t="shared" si="1"/>
        <v>0.71382426877952065</v>
      </c>
      <c r="J10" s="16">
        <f t="shared" si="1"/>
        <v>0.82803912081669062</v>
      </c>
      <c r="K10" s="16">
        <f t="shared" si="1"/>
        <v>0.9487171000000012</v>
      </c>
      <c r="N10" s="13">
        <f t="shared" si="7"/>
        <v>7.0000000000000007E-2</v>
      </c>
      <c r="O10" s="14">
        <f t="shared" si="2"/>
        <v>10.244768351058712</v>
      </c>
      <c r="P10" s="14">
        <f t="shared" si="3"/>
        <v>16.237573665002973</v>
      </c>
      <c r="Q10" s="14">
        <f t="shared" si="3"/>
        <v>20.489536702117423</v>
      </c>
      <c r="R10" s="14">
        <f t="shared" si="4"/>
        <v>9.9021025794277886</v>
      </c>
      <c r="S10" s="14">
        <f t="shared" si="5"/>
        <v>15.694461266687281</v>
      </c>
      <c r="T10" s="14">
        <f t="shared" si="5"/>
        <v>19.804205158855577</v>
      </c>
    </row>
    <row r="11" spans="1:21" x14ac:dyDescent="0.35">
      <c r="A11" t="s">
        <v>97</v>
      </c>
      <c r="B11" s="11">
        <v>0.02</v>
      </c>
      <c r="E11">
        <f t="shared" si="6"/>
        <v>8</v>
      </c>
      <c r="F11" s="16">
        <f t="shared" si="0"/>
        <v>0.26677008138761593</v>
      </c>
      <c r="G11" s="16">
        <f t="shared" si="1"/>
        <v>0.47745544378906257</v>
      </c>
      <c r="H11" s="16">
        <f t="shared" si="1"/>
        <v>0.71818617983192024</v>
      </c>
      <c r="I11" s="16">
        <f t="shared" si="1"/>
        <v>0.85093021028188232</v>
      </c>
      <c r="J11" s="16">
        <f t="shared" si="1"/>
        <v>0.99256264169019293</v>
      </c>
      <c r="K11" s="16">
        <f t="shared" si="1"/>
        <v>1.1435888100000011</v>
      </c>
      <c r="N11" s="13">
        <f t="shared" si="7"/>
        <v>0.08</v>
      </c>
      <c r="O11" s="14">
        <f t="shared" si="2"/>
        <v>9.0064683420005878</v>
      </c>
      <c r="P11" s="14">
        <f t="shared" si="3"/>
        <v>14.274914586003177</v>
      </c>
      <c r="Q11" s="14">
        <f t="shared" si="3"/>
        <v>18.012936684001176</v>
      </c>
      <c r="R11" s="14">
        <f t="shared" si="4"/>
        <v>8.6643397569993166</v>
      </c>
      <c r="S11" s="14">
        <f t="shared" si="5"/>
        <v>13.732653608351372</v>
      </c>
      <c r="T11" s="14">
        <f t="shared" si="5"/>
        <v>17.328679513998633</v>
      </c>
    </row>
    <row r="12" spans="1:21" x14ac:dyDescent="0.35">
      <c r="A12" t="s">
        <v>98</v>
      </c>
      <c r="B12">
        <v>1</v>
      </c>
      <c r="E12">
        <f t="shared" si="6"/>
        <v>9</v>
      </c>
      <c r="F12" s="16">
        <f t="shared" si="0"/>
        <v>0.30477318382924445</v>
      </c>
      <c r="G12" s="16">
        <f t="shared" si="1"/>
        <v>0.55132821597851578</v>
      </c>
      <c r="H12" s="16">
        <f t="shared" si="1"/>
        <v>0.83845921242015486</v>
      </c>
      <c r="I12" s="16">
        <f t="shared" si="1"/>
        <v>0.99900462710443305</v>
      </c>
      <c r="J12" s="16">
        <f t="shared" si="1"/>
        <v>1.1718932794423105</v>
      </c>
      <c r="K12" s="16">
        <f t="shared" si="1"/>
        <v>1.3579476910000015</v>
      </c>
      <c r="N12" s="13">
        <f t="shared" si="7"/>
        <v>0.09</v>
      </c>
      <c r="O12" s="14">
        <f t="shared" si="2"/>
        <v>8.0432317269320457</v>
      </c>
      <c r="P12" s="14">
        <f t="shared" si="3"/>
        <v>12.748220671797961</v>
      </c>
      <c r="Q12" s="14">
        <f t="shared" si="3"/>
        <v>16.086463453864091</v>
      </c>
      <c r="R12" s="14">
        <f t="shared" si="4"/>
        <v>7.7016353395549482</v>
      </c>
      <c r="S12" s="14">
        <f t="shared" si="5"/>
        <v>12.206803207423443</v>
      </c>
      <c r="T12" s="14">
        <f t="shared" si="5"/>
        <v>15.403270679109896</v>
      </c>
    </row>
    <row r="13" spans="1:21" x14ac:dyDescent="0.35">
      <c r="A13" t="s">
        <v>99</v>
      </c>
      <c r="B13" s="18">
        <f>(1+B11)^B12-1</f>
        <v>2.0000000000000018E-2</v>
      </c>
      <c r="E13">
        <f t="shared" si="6"/>
        <v>10</v>
      </c>
      <c r="F13" s="16">
        <f t="shared" si="0"/>
        <v>0.34391637934412178</v>
      </c>
      <c r="G13" s="16">
        <f t="shared" si="1"/>
        <v>0.62889462677744157</v>
      </c>
      <c r="H13" s="16">
        <f t="shared" si="1"/>
        <v>0.96715135728956558</v>
      </c>
      <c r="I13" s="16">
        <f t="shared" si="1"/>
        <v>1.1589249972727877</v>
      </c>
      <c r="J13" s="16">
        <f t="shared" si="1"/>
        <v>1.3673636745921187</v>
      </c>
      <c r="K13" s="16">
        <f t="shared" si="1"/>
        <v>1.5937424601000019</v>
      </c>
      <c r="N13" s="13">
        <f t="shared" si="7"/>
        <v>9.9999999999999992E-2</v>
      </c>
      <c r="O13" s="14">
        <f t="shared" si="2"/>
        <v>7.2725408973417132</v>
      </c>
      <c r="P13" s="14">
        <f t="shared" si="3"/>
        <v>11.526704607247604</v>
      </c>
      <c r="Q13" s="14">
        <f t="shared" si="3"/>
        <v>14.545081794683426</v>
      </c>
      <c r="R13" s="14">
        <f t="shared" si="4"/>
        <v>6.9314718055994531</v>
      </c>
      <c r="S13" s="14">
        <f t="shared" si="5"/>
        <v>10.986122886681098</v>
      </c>
      <c r="T13" s="14">
        <f t="shared" si="5"/>
        <v>13.862943611198906</v>
      </c>
    </row>
    <row r="14" spans="1:21" x14ac:dyDescent="0.35">
      <c r="A14" t="s">
        <v>100</v>
      </c>
      <c r="B14" s="30">
        <f>(1+B11/365)^(365*B12)-1</f>
        <v>2.0200781032909898E-2</v>
      </c>
      <c r="C14" s="30">
        <f>EXP(B12*B11)-1</f>
        <v>2.0201340026755776E-2</v>
      </c>
      <c r="E14">
        <f t="shared" si="6"/>
        <v>11</v>
      </c>
      <c r="F14" s="16">
        <f t="shared" si="0"/>
        <v>0.38423387072444548</v>
      </c>
      <c r="G14" s="16">
        <f t="shared" si="1"/>
        <v>0.71033935811631377</v>
      </c>
      <c r="H14" s="16">
        <f t="shared" si="1"/>
        <v>1.1048519522998355</v>
      </c>
      <c r="I14" s="16">
        <f t="shared" si="1"/>
        <v>1.3316389970546108</v>
      </c>
      <c r="J14" s="16">
        <f t="shared" si="1"/>
        <v>1.5804264053054093</v>
      </c>
      <c r="K14" s="16">
        <f t="shared" si="1"/>
        <v>1.8531167061100025</v>
      </c>
      <c r="N14" s="13">
        <f t="shared" si="7"/>
        <v>0.10999999999999999</v>
      </c>
      <c r="O14" s="14">
        <f t="shared" si="2"/>
        <v>6.6418846184179152</v>
      </c>
      <c r="P14" s="14">
        <f t="shared" si="3"/>
        <v>10.527138054309043</v>
      </c>
      <c r="Q14" s="14">
        <f t="shared" si="3"/>
        <v>13.28376923683583</v>
      </c>
      <c r="R14" s="14">
        <f t="shared" si="4"/>
        <v>6.3013380050904129</v>
      </c>
      <c r="S14" s="14">
        <f t="shared" si="5"/>
        <v>9.9873844424373637</v>
      </c>
      <c r="T14" s="14">
        <f t="shared" si="5"/>
        <v>12.602676010180826</v>
      </c>
    </row>
    <row r="15" spans="1:21" x14ac:dyDescent="0.35">
      <c r="E15">
        <f t="shared" si="6"/>
        <v>12</v>
      </c>
      <c r="F15" s="16">
        <f t="shared" si="0"/>
        <v>0.42576088684617863</v>
      </c>
      <c r="G15" s="16">
        <f t="shared" si="1"/>
        <v>0.79585632602212919</v>
      </c>
      <c r="H15" s="16">
        <f t="shared" si="1"/>
        <v>1.2521915889608235</v>
      </c>
      <c r="I15" s="16">
        <f t="shared" si="1"/>
        <v>1.5181701168189798</v>
      </c>
      <c r="J15" s="16">
        <f t="shared" si="1"/>
        <v>1.812664781782896</v>
      </c>
      <c r="K15" s="16">
        <f t="shared" si="1"/>
        <v>2.1384283767210026</v>
      </c>
      <c r="N15" s="13">
        <f t="shared" si="7"/>
        <v>0.11999999999999998</v>
      </c>
      <c r="O15" s="14">
        <f t="shared" si="2"/>
        <v>6.1162553741997101</v>
      </c>
      <c r="P15" s="14">
        <f t="shared" si="3"/>
        <v>9.6940354129407851</v>
      </c>
      <c r="Q15" s="14">
        <f t="shared" si="3"/>
        <v>12.23251074839942</v>
      </c>
      <c r="R15" s="14">
        <f t="shared" si="4"/>
        <v>5.7762265046662113</v>
      </c>
      <c r="S15" s="14">
        <f t="shared" si="5"/>
        <v>9.1551024055675825</v>
      </c>
      <c r="T15" s="14">
        <f t="shared" si="5"/>
        <v>11.552453009332423</v>
      </c>
    </row>
    <row r="16" spans="1:21" x14ac:dyDescent="0.35">
      <c r="E16">
        <f t="shared" si="6"/>
        <v>13</v>
      </c>
      <c r="F16" s="16">
        <f t="shared" si="0"/>
        <v>0.46853371345156392</v>
      </c>
      <c r="G16" s="16">
        <f t="shared" si="1"/>
        <v>0.88564914232323599</v>
      </c>
      <c r="H16" s="16">
        <f t="shared" si="1"/>
        <v>1.4098450001880813</v>
      </c>
      <c r="I16" s="16">
        <f t="shared" si="1"/>
        <v>1.7196237261644982</v>
      </c>
      <c r="J16" s="16">
        <f t="shared" si="1"/>
        <v>2.0658046121433573</v>
      </c>
      <c r="K16" s="16">
        <f t="shared" si="1"/>
        <v>2.4522712143931029</v>
      </c>
      <c r="N16" s="13">
        <f t="shared" si="7"/>
        <v>0.12999999999999998</v>
      </c>
      <c r="O16" s="14">
        <f t="shared" si="2"/>
        <v>5.6714171687799224</v>
      </c>
      <c r="P16" s="14">
        <f t="shared" si="3"/>
        <v>8.9889835384623265</v>
      </c>
      <c r="Q16" s="14">
        <f t="shared" si="3"/>
        <v>11.342834337559845</v>
      </c>
      <c r="R16" s="14">
        <f t="shared" si="4"/>
        <v>5.331901388922657</v>
      </c>
      <c r="S16" s="14">
        <f t="shared" si="5"/>
        <v>8.4508637589854612</v>
      </c>
      <c r="T16" s="14">
        <f t="shared" si="5"/>
        <v>10.663802777845314</v>
      </c>
    </row>
    <row r="17" spans="5:20" x14ac:dyDescent="0.35">
      <c r="E17">
        <f t="shared" si="6"/>
        <v>14</v>
      </c>
      <c r="F17" s="16">
        <f t="shared" si="0"/>
        <v>0.51258972485511101</v>
      </c>
      <c r="G17" s="16">
        <f t="shared" si="1"/>
        <v>0.97993159943939734</v>
      </c>
      <c r="H17" s="16">
        <f t="shared" si="1"/>
        <v>1.5785341502012469</v>
      </c>
      <c r="I17" s="16">
        <f t="shared" si="1"/>
        <v>1.9371936242576586</v>
      </c>
      <c r="J17" s="16">
        <f t="shared" si="1"/>
        <v>2.3417270272362596</v>
      </c>
      <c r="K17" s="16">
        <f t="shared" si="1"/>
        <v>2.7974983358324139</v>
      </c>
      <c r="N17" s="13">
        <f t="shared" si="7"/>
        <v>0.13999999999999999</v>
      </c>
      <c r="O17" s="14">
        <f t="shared" si="2"/>
        <v>5.2900585555354791</v>
      </c>
      <c r="P17" s="14">
        <f t="shared" si="3"/>
        <v>8.3845444371428606</v>
      </c>
      <c r="Q17" s="14">
        <f t="shared" si="3"/>
        <v>10.580117111070958</v>
      </c>
      <c r="R17" s="14">
        <f t="shared" si="4"/>
        <v>4.9510512897138952</v>
      </c>
      <c r="S17" s="14">
        <f t="shared" si="5"/>
        <v>7.8472306333436421</v>
      </c>
      <c r="T17" s="14">
        <f t="shared" si="5"/>
        <v>9.9021025794277904</v>
      </c>
    </row>
    <row r="18" spans="5:20" x14ac:dyDescent="0.35">
      <c r="E18">
        <f t="shared" si="6"/>
        <v>15</v>
      </c>
      <c r="F18" s="16">
        <f t="shared" si="0"/>
        <v>0.55796741660076443</v>
      </c>
      <c r="G18" s="16">
        <f t="shared" si="1"/>
        <v>1.0789281794113679</v>
      </c>
      <c r="H18" s="16">
        <f t="shared" si="1"/>
        <v>1.7590315407153345</v>
      </c>
      <c r="I18" s="16">
        <f t="shared" si="1"/>
        <v>2.1721691141982715</v>
      </c>
      <c r="J18" s="16">
        <f t="shared" si="1"/>
        <v>2.6424824596875229</v>
      </c>
      <c r="K18" s="16">
        <f t="shared" si="1"/>
        <v>3.1772481694156554</v>
      </c>
      <c r="N18" s="13">
        <f t="shared" si="7"/>
        <v>0.15</v>
      </c>
      <c r="O18" s="14">
        <f t="shared" si="2"/>
        <v>4.9594844546403909</v>
      </c>
      <c r="P18" s="14">
        <f t="shared" si="3"/>
        <v>7.8605968835145337</v>
      </c>
      <c r="Q18" s="14">
        <f t="shared" si="3"/>
        <v>9.9189689092807818</v>
      </c>
      <c r="R18" s="14">
        <f t="shared" si="4"/>
        <v>4.6209812037329687</v>
      </c>
      <c r="S18" s="14">
        <f t="shared" si="5"/>
        <v>7.3240819244540658</v>
      </c>
      <c r="T18" s="14">
        <f t="shared" si="5"/>
        <v>9.2419624074659374</v>
      </c>
    </row>
    <row r="19" spans="5:20" x14ac:dyDescent="0.35">
      <c r="E19">
        <f t="shared" si="6"/>
        <v>16</v>
      </c>
      <c r="F19" s="16">
        <f t="shared" si="0"/>
        <v>0.60470643909878707</v>
      </c>
      <c r="G19" s="16">
        <f t="shared" si="1"/>
        <v>1.182874588381936</v>
      </c>
      <c r="H19" s="16">
        <f t="shared" si="1"/>
        <v>1.9521637485654075</v>
      </c>
      <c r="I19" s="16">
        <f t="shared" si="1"/>
        <v>2.4259426433341331</v>
      </c>
      <c r="J19" s="16">
        <f t="shared" si="1"/>
        <v>2.9703058810594003</v>
      </c>
      <c r="K19" s="16">
        <f t="shared" si="1"/>
        <v>3.5949729863572211</v>
      </c>
      <c r="N19" s="13">
        <f t="shared" si="7"/>
        <v>0.16</v>
      </c>
      <c r="O19" s="14">
        <f t="shared" si="2"/>
        <v>4.6701735389888235</v>
      </c>
      <c r="P19" s="14">
        <f t="shared" si="3"/>
        <v>7.4020499311574977</v>
      </c>
      <c r="Q19" s="14">
        <f t="shared" si="3"/>
        <v>9.340347077977647</v>
      </c>
      <c r="R19" s="14">
        <f t="shared" si="4"/>
        <v>4.3321698784996583</v>
      </c>
      <c r="S19" s="14">
        <f t="shared" si="5"/>
        <v>6.866326804175686</v>
      </c>
      <c r="T19" s="14">
        <f t="shared" si="5"/>
        <v>8.6643397569993166</v>
      </c>
    </row>
    <row r="20" spans="5:20" x14ac:dyDescent="0.35">
      <c r="E20">
        <f t="shared" si="6"/>
        <v>17</v>
      </c>
      <c r="F20" s="16">
        <f t="shared" si="0"/>
        <v>0.65284763227175069</v>
      </c>
      <c r="G20" s="16">
        <f t="shared" ref="G20:K23" si="8">(1+G$3)^$E20-1</f>
        <v>1.2920183178010332</v>
      </c>
      <c r="H20" s="16">
        <f t="shared" si="8"/>
        <v>2.1588152109649861</v>
      </c>
      <c r="I20" s="16">
        <f t="shared" si="8"/>
        <v>2.7000180548008639</v>
      </c>
      <c r="J20" s="16">
        <f t="shared" si="8"/>
        <v>3.3276334103547462</v>
      </c>
      <c r="K20" s="16">
        <f t="shared" si="8"/>
        <v>4.0544702849929433</v>
      </c>
      <c r="N20" s="13">
        <f t="shared" si="7"/>
        <v>0.17</v>
      </c>
      <c r="O20" s="14">
        <f t="shared" si="2"/>
        <v>4.414844778007474</v>
      </c>
      <c r="P20" s="14">
        <f t="shared" ref="P20:Q23" si="9">LN(VALUE(LEFT(P$3,1)))/LN(1+$N20)</f>
        <v>6.9973634196464642</v>
      </c>
      <c r="Q20" s="14">
        <f t="shared" si="9"/>
        <v>8.829689556014948</v>
      </c>
      <c r="R20" s="14">
        <f t="shared" si="4"/>
        <v>4.077336356234972</v>
      </c>
      <c r="S20" s="14">
        <f t="shared" ref="S20:T23" si="10">LN(VALUE(LEFT(S$3,1)))/$N20</f>
        <v>6.4624252274594687</v>
      </c>
      <c r="T20" s="14">
        <f t="shared" si="10"/>
        <v>8.1546727124699441</v>
      </c>
    </row>
    <row r="21" spans="5:20" x14ac:dyDescent="0.35">
      <c r="E21">
        <f t="shared" si="6"/>
        <v>18</v>
      </c>
      <c r="F21" s="16">
        <f t="shared" si="0"/>
        <v>0.70243306123990323</v>
      </c>
      <c r="G21" s="16">
        <f t="shared" si="8"/>
        <v>1.4066192336910848</v>
      </c>
      <c r="H21" s="16">
        <f t="shared" si="8"/>
        <v>2.3799322757325352</v>
      </c>
      <c r="I21" s="16">
        <f t="shared" si="8"/>
        <v>2.9960194991849334</v>
      </c>
      <c r="J21" s="16">
        <f t="shared" si="8"/>
        <v>3.7171204172866741</v>
      </c>
      <c r="K21" s="16">
        <f t="shared" si="8"/>
        <v>4.5599173134922379</v>
      </c>
      <c r="N21" s="13">
        <f t="shared" si="7"/>
        <v>0.18000000000000002</v>
      </c>
      <c r="O21" s="14">
        <f t="shared" si="2"/>
        <v>4.1878351335123218</v>
      </c>
      <c r="P21" s="14">
        <f t="shared" si="9"/>
        <v>6.6375616458196074</v>
      </c>
      <c r="Q21" s="14">
        <f t="shared" si="9"/>
        <v>8.3756702670246437</v>
      </c>
      <c r="R21" s="14">
        <f t="shared" si="4"/>
        <v>3.8508176697774732</v>
      </c>
      <c r="S21" s="14">
        <f t="shared" si="10"/>
        <v>6.1034016037117205</v>
      </c>
      <c r="T21" s="14">
        <f t="shared" si="10"/>
        <v>7.7016353395549464</v>
      </c>
    </row>
    <row r="22" spans="5:20" x14ac:dyDescent="0.35">
      <c r="E22">
        <f t="shared" si="6"/>
        <v>19</v>
      </c>
      <c r="F22" s="16">
        <f t="shared" si="0"/>
        <v>0.75350605307710028</v>
      </c>
      <c r="G22" s="16">
        <f t="shared" si="8"/>
        <v>1.526950195375639</v>
      </c>
      <c r="H22" s="16">
        <f t="shared" si="8"/>
        <v>2.6165275350338129</v>
      </c>
      <c r="I22" s="16">
        <f t="shared" si="8"/>
        <v>3.3157010591197285</v>
      </c>
      <c r="J22" s="16">
        <f t="shared" si="8"/>
        <v>4.1416612548424752</v>
      </c>
      <c r="K22" s="16">
        <f t="shared" si="8"/>
        <v>5.1159090448414632</v>
      </c>
      <c r="N22" s="13">
        <f t="shared" si="7"/>
        <v>0.19000000000000003</v>
      </c>
      <c r="O22" s="14">
        <f t="shared" si="2"/>
        <v>3.9846737726468469</v>
      </c>
      <c r="P22" s="14">
        <f t="shared" si="9"/>
        <v>6.3155585072523515</v>
      </c>
      <c r="Q22" s="14">
        <f t="shared" si="9"/>
        <v>7.9693475452936937</v>
      </c>
      <c r="R22" s="14">
        <f t="shared" si="4"/>
        <v>3.6481430555786587</v>
      </c>
      <c r="S22" s="14">
        <f t="shared" si="10"/>
        <v>5.7821699403584716</v>
      </c>
      <c r="T22" s="14">
        <f t="shared" si="10"/>
        <v>7.2962861111573174</v>
      </c>
    </row>
    <row r="23" spans="5:20" x14ac:dyDescent="0.35">
      <c r="E23">
        <f t="shared" si="6"/>
        <v>20</v>
      </c>
      <c r="F23" s="16">
        <f t="shared" si="0"/>
        <v>0.80611123466941326</v>
      </c>
      <c r="G23" s="16">
        <f t="shared" si="8"/>
        <v>1.6532977051444209</v>
      </c>
      <c r="H23" s="16">
        <f t="shared" si="8"/>
        <v>2.8696844624861795</v>
      </c>
      <c r="I23" s="16">
        <f t="shared" si="8"/>
        <v>3.6609571438493065</v>
      </c>
      <c r="J23" s="16">
        <f t="shared" si="8"/>
        <v>4.6044107677782975</v>
      </c>
      <c r="K23" s="16">
        <f t="shared" si="8"/>
        <v>5.7274999493256091</v>
      </c>
      <c r="N23" s="13">
        <f t="shared" si="7"/>
        <v>0.20000000000000004</v>
      </c>
      <c r="O23" s="14">
        <f t="shared" si="2"/>
        <v>3.8017840169239308</v>
      </c>
      <c r="P23" s="14">
        <f t="shared" si="9"/>
        <v>6.0256851026654763</v>
      </c>
      <c r="Q23" s="14">
        <f t="shared" si="9"/>
        <v>7.6035680338478615</v>
      </c>
      <c r="R23" s="14">
        <f t="shared" si="4"/>
        <v>3.4657359027997257</v>
      </c>
      <c r="S23" s="14">
        <f t="shared" si="10"/>
        <v>5.4930614433405482</v>
      </c>
      <c r="T23" s="14">
        <f t="shared" si="10"/>
        <v>6.9314718055994513</v>
      </c>
    </row>
  </sheetData>
  <mergeCells count="2">
    <mergeCell ref="N2:Q2"/>
    <mergeCell ref="R2:U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zoomScaleNormal="100" workbookViewId="0">
      <selection activeCell="F6" sqref="F6"/>
    </sheetView>
  </sheetViews>
  <sheetFormatPr defaultRowHeight="14.5" x14ac:dyDescent="0.35"/>
  <cols>
    <col min="2" max="2" width="12.26953125" customWidth="1"/>
    <col min="3" max="3" width="12" style="20" customWidth="1"/>
    <col min="4" max="4" width="15.54296875" style="21" customWidth="1"/>
    <col min="6" max="6" width="20.54296875" style="21" bestFit="1" customWidth="1"/>
  </cols>
  <sheetData>
    <row r="1" spans="2:11" x14ac:dyDescent="0.35">
      <c r="D1" s="21" t="s">
        <v>63</v>
      </c>
      <c r="I1">
        <f>-0.0598</f>
        <v>-5.9799999999999999E-2</v>
      </c>
      <c r="J1">
        <v>1.7907999999999999</v>
      </c>
      <c r="K1">
        <v>-14.372999999999999</v>
      </c>
    </row>
    <row r="2" spans="2:11" x14ac:dyDescent="0.35">
      <c r="D2" s="21" t="s">
        <v>64</v>
      </c>
      <c r="I2" t="s">
        <v>65</v>
      </c>
      <c r="J2" t="s">
        <v>66</v>
      </c>
      <c r="K2" t="s">
        <v>67</v>
      </c>
    </row>
    <row r="3" spans="2:11" x14ac:dyDescent="0.35">
      <c r="B3" t="s">
        <v>68</v>
      </c>
      <c r="C3" s="20" t="s">
        <v>69</v>
      </c>
      <c r="D3" s="21" t="s">
        <v>70</v>
      </c>
      <c r="E3" t="s">
        <v>71</v>
      </c>
      <c r="F3" s="21" t="s">
        <v>82</v>
      </c>
      <c r="H3" t="s">
        <v>72</v>
      </c>
      <c r="I3" t="s">
        <v>73</v>
      </c>
    </row>
    <row r="4" spans="2:11" x14ac:dyDescent="0.35">
      <c r="B4" s="22">
        <f>C4-10000</f>
        <v>0</v>
      </c>
      <c r="C4" s="20">
        <v>10000</v>
      </c>
      <c r="D4" s="21">
        <f>E4/C4</f>
        <v>0</v>
      </c>
      <c r="E4">
        <v>0</v>
      </c>
      <c r="F4" s="21">
        <f>IF(D4=0,0,EXP($K$1+$J$1*LN(B4)+$I$1*LN(B4)^2))</f>
        <v>0</v>
      </c>
    </row>
    <row r="5" spans="2:11" x14ac:dyDescent="0.35">
      <c r="B5" s="22">
        <f t="shared" ref="B5:B44" si="0">C5-10000</f>
        <v>1000</v>
      </c>
      <c r="C5" s="20">
        <v>11000</v>
      </c>
      <c r="D5" s="21">
        <f t="shared" ref="D5:D44" si="1">E5/C5</f>
        <v>7.7272727272727276E-3</v>
      </c>
      <c r="E5">
        <v>85</v>
      </c>
      <c r="F5" s="21">
        <f t="shared" ref="F5:F44" si="2">IF(D5=0,0,EXP($K$1+$J$1*LN(B5)+$I$1*LN(B5)^2))</f>
        <v>7.7809766950768383E-3</v>
      </c>
      <c r="H5">
        <f>LN(B5)</f>
        <v>6.9077552789821368</v>
      </c>
      <c r="I5">
        <f>LN(D5)</f>
        <v>-4.8629992952901908</v>
      </c>
    </row>
    <row r="6" spans="2:11" x14ac:dyDescent="0.35">
      <c r="B6" s="22">
        <f t="shared" si="0"/>
        <v>5000</v>
      </c>
      <c r="C6" s="20">
        <v>15000</v>
      </c>
      <c r="D6" s="21">
        <f t="shared" si="1"/>
        <v>3.2333333333333332E-2</v>
      </c>
      <c r="E6">
        <v>485</v>
      </c>
      <c r="F6" s="21">
        <f t="shared" si="2"/>
        <v>3.1478304753166181E-2</v>
      </c>
      <c r="H6">
        <f t="shared" ref="H6:H44" si="3">LN(B6)</f>
        <v>8.5171931914162382</v>
      </c>
      <c r="I6">
        <f t="shared" ref="I6:I44" si="4">LN(D6)</f>
        <v>-3.431656589146864</v>
      </c>
    </row>
    <row r="7" spans="2:11" x14ac:dyDescent="0.35">
      <c r="B7" s="22">
        <f t="shared" si="0"/>
        <v>10000</v>
      </c>
      <c r="C7" s="20">
        <v>20000</v>
      </c>
      <c r="D7" s="21">
        <f t="shared" si="1"/>
        <v>5.1200000000000002E-2</v>
      </c>
      <c r="E7">
        <v>1024</v>
      </c>
      <c r="F7" s="21">
        <f t="shared" si="2"/>
        <v>5.2236250349632148E-2</v>
      </c>
      <c r="H7">
        <f t="shared" si="3"/>
        <v>9.2103403719761836</v>
      </c>
      <c r="I7">
        <f t="shared" si="4"/>
        <v>-2.972015746936675</v>
      </c>
    </row>
    <row r="8" spans="2:11" x14ac:dyDescent="0.35">
      <c r="B8" s="22">
        <f t="shared" si="0"/>
        <v>15000</v>
      </c>
      <c r="C8" s="20">
        <v>25000</v>
      </c>
      <c r="D8" s="21">
        <f t="shared" si="1"/>
        <v>7.0959999999999995E-2</v>
      </c>
      <c r="E8">
        <v>1774</v>
      </c>
      <c r="F8" s="21">
        <f t="shared" si="2"/>
        <v>6.8402513694589329E-2</v>
      </c>
      <c r="H8">
        <f t="shared" si="3"/>
        <v>9.6158054800843473</v>
      </c>
      <c r="I8">
        <f t="shared" si="4"/>
        <v>-2.6456389409808132</v>
      </c>
    </row>
    <row r="9" spans="2:11" x14ac:dyDescent="0.35">
      <c r="B9" s="22">
        <f t="shared" si="0"/>
        <v>20000</v>
      </c>
      <c r="C9" s="20">
        <f>30000</f>
        <v>30000</v>
      </c>
      <c r="D9" s="21">
        <f t="shared" si="1"/>
        <v>8.4133333333333338E-2</v>
      </c>
      <c r="E9">
        <v>2524</v>
      </c>
      <c r="F9" s="21">
        <f t="shared" si="2"/>
        <v>8.1842171846918776E-2</v>
      </c>
      <c r="H9">
        <f t="shared" si="3"/>
        <v>9.9034875525361272</v>
      </c>
      <c r="I9">
        <f t="shared" si="4"/>
        <v>-2.4753524369831887</v>
      </c>
    </row>
    <row r="10" spans="2:11" x14ac:dyDescent="0.35">
      <c r="B10" s="22">
        <f t="shared" si="0"/>
        <v>25000</v>
      </c>
      <c r="C10" s="20">
        <f t="shared" ref="C10:C15" si="5">C9+5000</f>
        <v>35000</v>
      </c>
      <c r="D10" s="21">
        <f t="shared" si="1"/>
        <v>9.3542857142857136E-2</v>
      </c>
      <c r="E10">
        <v>3274</v>
      </c>
      <c r="F10" s="21">
        <f t="shared" si="2"/>
        <v>9.3421035601744043E-2</v>
      </c>
      <c r="H10">
        <f t="shared" si="3"/>
        <v>10.126631103850338</v>
      </c>
      <c r="I10">
        <f t="shared" si="4"/>
        <v>-2.3693355825404705</v>
      </c>
    </row>
    <row r="11" spans="2:11" x14ac:dyDescent="0.35">
      <c r="B11" s="22">
        <f t="shared" si="0"/>
        <v>30000</v>
      </c>
      <c r="C11" s="20">
        <f t="shared" si="5"/>
        <v>40000</v>
      </c>
      <c r="D11" s="21">
        <f t="shared" si="1"/>
        <v>0.10059999999999999</v>
      </c>
      <c r="E11">
        <v>4024</v>
      </c>
      <c r="F11" s="21">
        <f t="shared" si="2"/>
        <v>0.10362849156185763</v>
      </c>
      <c r="H11">
        <f t="shared" si="3"/>
        <v>10.308952660644293</v>
      </c>
      <c r="I11">
        <f t="shared" si="4"/>
        <v>-2.2966030213164981</v>
      </c>
    </row>
    <row r="12" spans="2:11" x14ac:dyDescent="0.35">
      <c r="B12" s="22">
        <f t="shared" si="0"/>
        <v>35000</v>
      </c>
      <c r="C12" s="20">
        <f t="shared" si="5"/>
        <v>45000</v>
      </c>
      <c r="D12" s="21">
        <f t="shared" si="1"/>
        <v>0.10608888888888889</v>
      </c>
      <c r="E12">
        <v>4774</v>
      </c>
      <c r="F12" s="21">
        <f t="shared" si="2"/>
        <v>0.1127738128580611</v>
      </c>
      <c r="H12">
        <f t="shared" si="3"/>
        <v>10.46310334047155</v>
      </c>
      <c r="I12">
        <f t="shared" si="4"/>
        <v>-2.2434779618536815</v>
      </c>
    </row>
    <row r="13" spans="2:11" x14ac:dyDescent="0.35">
      <c r="B13" s="22">
        <f t="shared" si="0"/>
        <v>40000</v>
      </c>
      <c r="C13" s="20">
        <f t="shared" si="5"/>
        <v>50000</v>
      </c>
      <c r="D13" s="21">
        <f t="shared" si="1"/>
        <v>0.11638</v>
      </c>
      <c r="E13">
        <v>5819</v>
      </c>
      <c r="F13" s="21">
        <f t="shared" si="2"/>
        <v>0.1210672810192582</v>
      </c>
      <c r="H13">
        <f t="shared" si="3"/>
        <v>10.596634733096073</v>
      </c>
      <c r="I13">
        <f t="shared" si="4"/>
        <v>-2.1508945797536132</v>
      </c>
    </row>
    <row r="14" spans="2:11" x14ac:dyDescent="0.35">
      <c r="B14" s="22">
        <f t="shared" si="0"/>
        <v>45000</v>
      </c>
      <c r="C14" s="20">
        <f t="shared" si="5"/>
        <v>55000</v>
      </c>
      <c r="D14" s="21">
        <f t="shared" si="1"/>
        <v>0.12852727272727274</v>
      </c>
      <c r="E14">
        <v>7069</v>
      </c>
      <c r="F14" s="21">
        <f t="shared" si="2"/>
        <v>0.12865951308771109</v>
      </c>
      <c r="H14">
        <f t="shared" si="3"/>
        <v>10.714417768752456</v>
      </c>
      <c r="I14">
        <f t="shared" si="4"/>
        <v>-2.051614158043654</v>
      </c>
    </row>
    <row r="15" spans="2:11" x14ac:dyDescent="0.35">
      <c r="B15" s="22">
        <f t="shared" si="0"/>
        <v>50000</v>
      </c>
      <c r="C15" s="20">
        <f t="shared" si="5"/>
        <v>60000</v>
      </c>
      <c r="D15" s="21">
        <f t="shared" si="1"/>
        <v>0.13865</v>
      </c>
      <c r="E15">
        <v>8319</v>
      </c>
      <c r="F15" s="21">
        <f t="shared" si="2"/>
        <v>0.13566269534449746</v>
      </c>
      <c r="H15">
        <f t="shared" si="3"/>
        <v>10.819778284410283</v>
      </c>
      <c r="I15">
        <f t="shared" si="4"/>
        <v>-1.97580250692035</v>
      </c>
    </row>
    <row r="16" spans="2:11" x14ac:dyDescent="0.35">
      <c r="B16" s="22">
        <f t="shared" si="0"/>
        <v>60000</v>
      </c>
      <c r="C16" s="20">
        <f>C15+10000</f>
        <v>70000</v>
      </c>
      <c r="D16" s="21">
        <f t="shared" si="1"/>
        <v>0.15455714285714287</v>
      </c>
      <c r="E16">
        <v>10819</v>
      </c>
      <c r="F16" s="21">
        <f t="shared" si="2"/>
        <v>0.14822818246209502</v>
      </c>
      <c r="H16">
        <f t="shared" si="3"/>
        <v>11.002099841204238</v>
      </c>
      <c r="I16">
        <f t="shared" si="4"/>
        <v>-1.8671913943439227</v>
      </c>
    </row>
    <row r="17" spans="2:9" x14ac:dyDescent="0.35">
      <c r="B17" s="22">
        <f t="shared" si="0"/>
        <v>70000</v>
      </c>
      <c r="C17" s="20">
        <f t="shared" ref="C17:C34" si="6">C16+10000</f>
        <v>80000</v>
      </c>
      <c r="D17" s="21">
        <f t="shared" si="1"/>
        <v>0.16648750000000001</v>
      </c>
      <c r="E17">
        <v>13319</v>
      </c>
      <c r="F17" s="21">
        <f t="shared" si="2"/>
        <v>0.15926118952896276</v>
      </c>
      <c r="H17">
        <f t="shared" si="3"/>
        <v>11.156250521031495</v>
      </c>
      <c r="I17">
        <f t="shared" si="4"/>
        <v>-1.7928350474549881</v>
      </c>
    </row>
    <row r="18" spans="2:9" x14ac:dyDescent="0.35">
      <c r="B18" s="22">
        <f t="shared" si="0"/>
        <v>80000</v>
      </c>
      <c r="C18" s="20">
        <f t="shared" si="6"/>
        <v>90000</v>
      </c>
      <c r="D18" s="21">
        <f t="shared" si="1"/>
        <v>0.17576666666666665</v>
      </c>
      <c r="E18">
        <v>15819</v>
      </c>
      <c r="F18" s="21">
        <f t="shared" si="2"/>
        <v>0.16909116808852689</v>
      </c>
      <c r="H18">
        <f t="shared" si="3"/>
        <v>11.289781913656018</v>
      </c>
      <c r="I18">
        <f t="shared" si="4"/>
        <v>-1.7385979211138227</v>
      </c>
    </row>
    <row r="19" spans="2:9" x14ac:dyDescent="0.35">
      <c r="B19" s="22">
        <f t="shared" si="0"/>
        <v>90000</v>
      </c>
      <c r="C19" s="20">
        <f t="shared" si="6"/>
        <v>100000</v>
      </c>
      <c r="D19" s="21">
        <f t="shared" si="1"/>
        <v>0.18334</v>
      </c>
      <c r="E19">
        <v>18334</v>
      </c>
      <c r="F19" s="21">
        <f t="shared" si="2"/>
        <v>0.17794896816032349</v>
      </c>
      <c r="H19">
        <f t="shared" si="3"/>
        <v>11.407564949312402</v>
      </c>
      <c r="I19">
        <f t="shared" si="4"/>
        <v>-1.6964129264485075</v>
      </c>
    </row>
    <row r="20" spans="2:9" x14ac:dyDescent="0.35">
      <c r="B20" s="22">
        <f t="shared" si="0"/>
        <v>100000</v>
      </c>
      <c r="C20" s="20">
        <f t="shared" si="6"/>
        <v>110000</v>
      </c>
      <c r="D20" s="21">
        <f t="shared" si="1"/>
        <v>0.19212727272727273</v>
      </c>
      <c r="E20">
        <v>21134</v>
      </c>
      <c r="F20" s="21">
        <f t="shared" si="2"/>
        <v>0.18600332064531044</v>
      </c>
      <c r="H20">
        <f t="shared" si="3"/>
        <v>11.512925464970229</v>
      </c>
      <c r="I20">
        <f t="shared" si="4"/>
        <v>-1.6495972477735772</v>
      </c>
    </row>
    <row r="21" spans="2:9" x14ac:dyDescent="0.35">
      <c r="B21" s="22">
        <f t="shared" si="0"/>
        <v>110000</v>
      </c>
      <c r="C21" s="20">
        <f t="shared" si="6"/>
        <v>120000</v>
      </c>
      <c r="D21" s="21">
        <f t="shared" si="1"/>
        <v>0.19944999999999999</v>
      </c>
      <c r="E21">
        <v>23934</v>
      </c>
      <c r="F21" s="21">
        <f t="shared" si="2"/>
        <v>0.19338167206141579</v>
      </c>
      <c r="H21">
        <f t="shared" si="3"/>
        <v>11.608235644774552</v>
      </c>
      <c r="I21">
        <f t="shared" si="4"/>
        <v>-1.6121917006307214</v>
      </c>
    </row>
    <row r="22" spans="2:9" x14ac:dyDescent="0.35">
      <c r="B22" s="22">
        <f t="shared" si="0"/>
        <v>120000</v>
      </c>
      <c r="C22" s="20">
        <f t="shared" si="6"/>
        <v>130000</v>
      </c>
      <c r="D22" s="21">
        <f t="shared" si="1"/>
        <v>0.20564615384615384</v>
      </c>
      <c r="E22">
        <v>26734</v>
      </c>
      <c r="F22" s="21">
        <f t="shared" si="2"/>
        <v>0.20018285665735236</v>
      </c>
      <c r="H22">
        <f t="shared" si="3"/>
        <v>11.695247021764184</v>
      </c>
      <c r="I22">
        <f t="shared" si="4"/>
        <v>-1.5815982869063012</v>
      </c>
    </row>
    <row r="23" spans="2:9" x14ac:dyDescent="0.35">
      <c r="B23" s="22">
        <f t="shared" si="0"/>
        <v>130000</v>
      </c>
      <c r="C23" s="20">
        <f t="shared" si="6"/>
        <v>140000</v>
      </c>
      <c r="D23" s="21">
        <f t="shared" si="1"/>
        <v>0.21095714285714287</v>
      </c>
      <c r="E23">
        <v>29534</v>
      </c>
      <c r="F23" s="21">
        <f t="shared" si="2"/>
        <v>0.20648519674561142</v>
      </c>
      <c r="H23">
        <f t="shared" si="3"/>
        <v>11.77528972943772</v>
      </c>
      <c r="I23">
        <f t="shared" si="4"/>
        <v>-1.556100280557722</v>
      </c>
    </row>
    <row r="24" spans="2:9" x14ac:dyDescent="0.35">
      <c r="B24" s="22">
        <f t="shared" si="0"/>
        <v>140000</v>
      </c>
      <c r="C24" s="20">
        <f t="shared" si="6"/>
        <v>150000</v>
      </c>
      <c r="D24" s="21">
        <f t="shared" si="1"/>
        <v>0.21556</v>
      </c>
      <c r="E24">
        <v>32334</v>
      </c>
      <c r="F24" s="21">
        <f t="shared" si="2"/>
        <v>0.21235189374193811</v>
      </c>
      <c r="H24">
        <f t="shared" si="3"/>
        <v>11.849397701591441</v>
      </c>
      <c r="I24">
        <f t="shared" si="4"/>
        <v>-1.5345159859168411</v>
      </c>
    </row>
    <row r="25" spans="2:9" x14ac:dyDescent="0.35">
      <c r="B25" s="22">
        <f t="shared" si="0"/>
        <v>150000</v>
      </c>
      <c r="C25" s="20">
        <f t="shared" si="6"/>
        <v>160000</v>
      </c>
      <c r="D25" s="21">
        <f t="shared" si="1"/>
        <v>0.21958749999999999</v>
      </c>
      <c r="E25">
        <v>35134</v>
      </c>
      <c r="F25" s="21">
        <f t="shared" si="2"/>
        <v>0.21783473803145262</v>
      </c>
      <c r="H25">
        <f t="shared" si="3"/>
        <v>11.918390573078392</v>
      </c>
      <c r="I25">
        <f t="shared" si="4"/>
        <v>-1.5160044926426357</v>
      </c>
    </row>
    <row r="26" spans="2:9" x14ac:dyDescent="0.35">
      <c r="B26" s="22">
        <f t="shared" si="0"/>
        <v>160000</v>
      </c>
      <c r="C26" s="20">
        <f t="shared" si="6"/>
        <v>170000</v>
      </c>
      <c r="D26" s="21">
        <f t="shared" si="1"/>
        <v>0.22314117647058823</v>
      </c>
      <c r="E26">
        <v>37934</v>
      </c>
      <c r="F26" s="21">
        <f t="shared" si="2"/>
        <v>0.22297673490092243</v>
      </c>
      <c r="H26">
        <f t="shared" si="3"/>
        <v>11.982929094215963</v>
      </c>
      <c r="I26">
        <f t="shared" si="4"/>
        <v>-1.4999506294881311</v>
      </c>
    </row>
    <row r="27" spans="2:9" x14ac:dyDescent="0.35">
      <c r="B27" s="22">
        <f t="shared" si="0"/>
        <v>170000</v>
      </c>
      <c r="C27" s="20">
        <f t="shared" si="6"/>
        <v>180000</v>
      </c>
      <c r="D27" s="21">
        <f t="shared" si="1"/>
        <v>0.2263</v>
      </c>
      <c r="E27">
        <v>40734</v>
      </c>
      <c r="F27" s="21">
        <f t="shared" si="2"/>
        <v>0.22781400858271902</v>
      </c>
      <c r="H27">
        <f t="shared" si="3"/>
        <v>12.043553716032399</v>
      </c>
      <c r="I27">
        <f t="shared" si="4"/>
        <v>-1.4858937263426453</v>
      </c>
    </row>
    <row r="28" spans="2:9" x14ac:dyDescent="0.35">
      <c r="B28" s="22">
        <f t="shared" si="0"/>
        <v>180000</v>
      </c>
      <c r="C28" s="20">
        <f t="shared" si="6"/>
        <v>190000</v>
      </c>
      <c r="D28" s="21">
        <f t="shared" si="1"/>
        <v>0.22912631578947368</v>
      </c>
      <c r="E28">
        <v>43534</v>
      </c>
      <c r="F28" s="21">
        <f t="shared" si="2"/>
        <v>0.23237721197038749</v>
      </c>
      <c r="H28">
        <f t="shared" si="3"/>
        <v>12.100712129872347</v>
      </c>
      <c r="I28">
        <f t="shared" si="4"/>
        <v>-1.4734818301678407</v>
      </c>
    </row>
    <row r="29" spans="2:9" x14ac:dyDescent="0.35">
      <c r="B29" s="22">
        <f t="shared" si="0"/>
        <v>190000</v>
      </c>
      <c r="C29" s="20">
        <f t="shared" si="6"/>
        <v>200000</v>
      </c>
      <c r="D29" s="21">
        <f t="shared" si="1"/>
        <v>0.232545</v>
      </c>
      <c r="E29">
        <v>46509</v>
      </c>
      <c r="F29" s="21">
        <f t="shared" si="2"/>
        <v>0.23669258956107245</v>
      </c>
      <c r="H29">
        <f t="shared" si="3"/>
        <v>12.154779351142624</v>
      </c>
      <c r="I29">
        <f t="shared" si="4"/>
        <v>-1.4586715242957018</v>
      </c>
    </row>
    <row r="30" spans="2:9" x14ac:dyDescent="0.35">
      <c r="B30" s="22">
        <f t="shared" si="0"/>
        <v>200000</v>
      </c>
      <c r="C30" s="20">
        <f t="shared" si="6"/>
        <v>210000</v>
      </c>
      <c r="D30" s="21">
        <f t="shared" si="1"/>
        <v>0.23761428571428572</v>
      </c>
      <c r="E30">
        <v>49899</v>
      </c>
      <c r="F30" s="21">
        <f t="shared" si="2"/>
        <v>0.24078279193220395</v>
      </c>
      <c r="H30">
        <f t="shared" si="3"/>
        <v>12.206072645530174</v>
      </c>
      <c r="I30">
        <f t="shared" si="4"/>
        <v>-1.4371065682409612</v>
      </c>
    </row>
    <row r="31" spans="2:9" x14ac:dyDescent="0.35">
      <c r="B31" s="22">
        <f t="shared" si="0"/>
        <v>210000</v>
      </c>
      <c r="C31" s="20">
        <f t="shared" si="6"/>
        <v>220000</v>
      </c>
      <c r="D31" s="21">
        <f t="shared" si="1"/>
        <v>0.24222272727272728</v>
      </c>
      <c r="E31">
        <v>53289</v>
      </c>
      <c r="F31" s="21">
        <f t="shared" si="2"/>
        <v>0.24466750882771035</v>
      </c>
      <c r="H31">
        <f t="shared" si="3"/>
        <v>12.254862809699606</v>
      </c>
      <c r="I31">
        <f t="shared" si="4"/>
        <v>-1.4178976154665031</v>
      </c>
    </row>
    <row r="32" spans="2:9" x14ac:dyDescent="0.35">
      <c r="B32" s="22">
        <f t="shared" si="0"/>
        <v>220000</v>
      </c>
      <c r="C32" s="20">
        <f t="shared" si="6"/>
        <v>230000</v>
      </c>
      <c r="D32" s="21">
        <f t="shared" si="1"/>
        <v>0.2464304347826087</v>
      </c>
      <c r="E32">
        <v>56679</v>
      </c>
      <c r="F32" s="21">
        <f t="shared" si="2"/>
        <v>0.24836396759547646</v>
      </c>
      <c r="H32">
        <f t="shared" si="3"/>
        <v>12.301382825334498</v>
      </c>
      <c r="I32">
        <f t="shared" si="4"/>
        <v>-1.4006755371639048</v>
      </c>
    </row>
    <row r="33" spans="2:14" x14ac:dyDescent="0.35">
      <c r="B33" s="22">
        <f t="shared" si="0"/>
        <v>230000</v>
      </c>
      <c r="C33" s="20">
        <f t="shared" si="6"/>
        <v>240000</v>
      </c>
      <c r="D33" s="21">
        <f t="shared" si="1"/>
        <v>0.2502875</v>
      </c>
      <c r="E33">
        <v>60069</v>
      </c>
      <c r="F33" s="21">
        <f t="shared" si="2"/>
        <v>0.2518873301677117</v>
      </c>
      <c r="H33">
        <f t="shared" si="3"/>
        <v>12.345834587905333</v>
      </c>
      <c r="I33">
        <f t="shared" si="4"/>
        <v>-1.3851450218633692</v>
      </c>
    </row>
    <row r="34" spans="2:14" x14ac:dyDescent="0.35">
      <c r="B34" s="22">
        <f t="shared" si="0"/>
        <v>240000</v>
      </c>
      <c r="C34" s="20">
        <f t="shared" si="6"/>
        <v>250000</v>
      </c>
      <c r="D34" s="21">
        <f t="shared" si="1"/>
        <v>0.25383600000000001</v>
      </c>
      <c r="E34">
        <v>63459</v>
      </c>
      <c r="F34" s="21">
        <f t="shared" si="2"/>
        <v>0.25525101255608246</v>
      </c>
      <c r="H34">
        <f t="shared" si="3"/>
        <v>12.388394202324129</v>
      </c>
      <c r="I34">
        <f t="shared" si="4"/>
        <v>-1.3710668897891234</v>
      </c>
    </row>
    <row r="35" spans="2:14" x14ac:dyDescent="0.35">
      <c r="B35" s="22">
        <f t="shared" si="0"/>
        <v>290000</v>
      </c>
      <c r="C35" s="20">
        <v>300000</v>
      </c>
      <c r="D35" s="21">
        <f t="shared" si="1"/>
        <v>0.26967999999999998</v>
      </c>
      <c r="E35">
        <v>80904</v>
      </c>
      <c r="F35" s="21">
        <f t="shared" si="2"/>
        <v>0.27005067598148624</v>
      </c>
      <c r="H35">
        <f t="shared" si="3"/>
        <v>12.577636201962656</v>
      </c>
      <c r="I35">
        <f t="shared" si="4"/>
        <v>-1.3105192080563319</v>
      </c>
    </row>
    <row r="36" spans="2:14" x14ac:dyDescent="0.35">
      <c r="B36" s="22">
        <f t="shared" si="0"/>
        <v>340000</v>
      </c>
      <c r="C36" s="20">
        <v>350000</v>
      </c>
      <c r="D36" s="21">
        <f t="shared" si="1"/>
        <v>0.28107142857142858</v>
      </c>
      <c r="E36">
        <v>98375</v>
      </c>
      <c r="F36" s="21">
        <f t="shared" si="2"/>
        <v>0.28221550205879958</v>
      </c>
      <c r="H36">
        <f t="shared" si="3"/>
        <v>12.736700896592344</v>
      </c>
      <c r="I36">
        <f t="shared" si="4"/>
        <v>-1.269146447745892</v>
      </c>
      <c r="L36">
        <f>-0.0598</f>
        <v>-5.9799999999999999E-2</v>
      </c>
      <c r="M36">
        <v>1.7907999999999999</v>
      </c>
      <c r="N36">
        <v>-14.372999999999999</v>
      </c>
    </row>
    <row r="37" spans="2:14" x14ac:dyDescent="0.35">
      <c r="B37" s="22">
        <f t="shared" si="0"/>
        <v>390000</v>
      </c>
      <c r="C37" s="20">
        <v>400000</v>
      </c>
      <c r="D37" s="21">
        <f t="shared" si="1"/>
        <v>0.28903000000000001</v>
      </c>
      <c r="E37">
        <v>115612</v>
      </c>
      <c r="F37" s="21">
        <f t="shared" si="2"/>
        <v>0.29243584033610159</v>
      </c>
      <c r="H37">
        <f t="shared" si="3"/>
        <v>12.873902018105829</v>
      </c>
      <c r="I37">
        <f t="shared" si="4"/>
        <v>-1.2412247900288249</v>
      </c>
    </row>
    <row r="38" spans="2:14" x14ac:dyDescent="0.35">
      <c r="B38" s="22">
        <f t="shared" si="0"/>
        <v>440000</v>
      </c>
      <c r="C38" s="20">
        <v>450000</v>
      </c>
      <c r="D38" s="21">
        <f t="shared" si="1"/>
        <v>0.30009111111111109</v>
      </c>
      <c r="E38">
        <v>135041</v>
      </c>
      <c r="F38" s="21">
        <f t="shared" si="2"/>
        <v>0.30116629013119506</v>
      </c>
      <c r="H38">
        <f t="shared" si="3"/>
        <v>12.994530005894443</v>
      </c>
      <c r="I38">
        <f t="shared" si="4"/>
        <v>-1.2036691467308669</v>
      </c>
    </row>
    <row r="39" spans="2:14" x14ac:dyDescent="0.35">
      <c r="B39" s="22">
        <f t="shared" si="0"/>
        <v>490000</v>
      </c>
      <c r="C39" s="20">
        <v>500000</v>
      </c>
      <c r="D39" s="21">
        <f t="shared" si="1"/>
        <v>0.31058200000000002</v>
      </c>
      <c r="E39">
        <v>155291</v>
      </c>
      <c r="F39" s="21">
        <f t="shared" si="2"/>
        <v>0.30872196318852274</v>
      </c>
      <c r="H39">
        <f t="shared" si="3"/>
        <v>13.102160670086809</v>
      </c>
      <c r="I39">
        <f t="shared" si="4"/>
        <v>-1.1693073222971424</v>
      </c>
    </row>
    <row r="40" spans="2:14" x14ac:dyDescent="0.35">
      <c r="B40" s="22">
        <f t="shared" si="0"/>
        <v>590000</v>
      </c>
      <c r="C40" s="20">
        <v>600000</v>
      </c>
      <c r="D40" s="21">
        <f t="shared" si="1"/>
        <v>0.32631833333333332</v>
      </c>
      <c r="E40">
        <v>195791</v>
      </c>
      <c r="F40" s="21">
        <f t="shared" si="2"/>
        <v>0.3211597298173724</v>
      </c>
      <c r="H40">
        <f t="shared" si="3"/>
        <v>13.287877815881902</v>
      </c>
      <c r="I40">
        <f t="shared" si="4"/>
        <v>-1.1198818914468562</v>
      </c>
    </row>
    <row r="41" spans="2:14" x14ac:dyDescent="0.35">
      <c r="B41" s="22">
        <f t="shared" si="0"/>
        <v>690000</v>
      </c>
      <c r="C41" s="20">
        <f>C40+100000</f>
        <v>700000</v>
      </c>
      <c r="D41" s="21">
        <f t="shared" si="1"/>
        <v>0.33755857142857143</v>
      </c>
      <c r="E41">
        <v>236291</v>
      </c>
      <c r="F41" s="21">
        <f t="shared" si="2"/>
        <v>0.33097149931884656</v>
      </c>
      <c r="H41">
        <f t="shared" si="3"/>
        <v>13.444446876573442</v>
      </c>
      <c r="I41">
        <f t="shared" si="4"/>
        <v>-1.0860162387531944</v>
      </c>
    </row>
    <row r="42" spans="2:14" x14ac:dyDescent="0.35">
      <c r="B42" s="22">
        <f t="shared" si="0"/>
        <v>790000</v>
      </c>
      <c r="C42" s="20">
        <f>C41+100000</f>
        <v>800000</v>
      </c>
      <c r="D42" s="21">
        <f t="shared" si="1"/>
        <v>0.34598875000000001</v>
      </c>
      <c r="E42">
        <v>276791</v>
      </c>
      <c r="F42" s="21">
        <f t="shared" si="2"/>
        <v>0.33889260836747642</v>
      </c>
      <c r="H42">
        <f t="shared" si="3"/>
        <v>13.579788224443204</v>
      </c>
      <c r="I42">
        <f t="shared" si="4"/>
        <v>-1.0613490189038861</v>
      </c>
    </row>
    <row r="43" spans="2:14" x14ac:dyDescent="0.35">
      <c r="B43" s="22">
        <f t="shared" si="0"/>
        <v>890000</v>
      </c>
      <c r="C43" s="20">
        <f>C42+100000</f>
        <v>900000</v>
      </c>
      <c r="D43" s="21">
        <f t="shared" si="1"/>
        <v>0.35254555555555556</v>
      </c>
      <c r="E43">
        <v>317291</v>
      </c>
      <c r="F43" s="21">
        <f t="shared" si="2"/>
        <v>0.34539800666189208</v>
      </c>
      <c r="H43">
        <f t="shared" si="3"/>
        <v>13.698976741708323</v>
      </c>
      <c r="I43">
        <f t="shared" si="4"/>
        <v>-1.0425754294614196</v>
      </c>
    </row>
    <row r="44" spans="2:14" x14ac:dyDescent="0.35">
      <c r="B44" s="22">
        <f t="shared" si="0"/>
        <v>990000</v>
      </c>
      <c r="C44" s="20">
        <f>C43+100000</f>
        <v>1000000</v>
      </c>
      <c r="D44" s="21">
        <f t="shared" si="1"/>
        <v>0.35779100000000003</v>
      </c>
      <c r="E44">
        <v>357791</v>
      </c>
      <c r="F44" s="21">
        <f t="shared" si="2"/>
        <v>0.35081102019445948</v>
      </c>
      <c r="H44">
        <f t="shared" si="3"/>
        <v>13.805460222110773</v>
      </c>
      <c r="I44">
        <f t="shared" si="4"/>
        <v>-1.0278062619410386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Pre-Retirement</vt:lpstr>
      <vt:lpstr>Post-Retirement</vt:lpstr>
      <vt:lpstr>Roth_vs_Standard_IRA</vt:lpstr>
      <vt:lpstr>Compound Interest Analysis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cneophytou</dc:creator>
  <cp:lastModifiedBy>cneophytou</cp:lastModifiedBy>
  <dcterms:created xsi:type="dcterms:W3CDTF">2017-06-24T18:25:51Z</dcterms:created>
  <dcterms:modified xsi:type="dcterms:W3CDTF">2017-06-29T02:26:46Z</dcterms:modified>
</cp:coreProperties>
</file>